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ow to use"/>
    <sheet r:id="rId2" sheetId="2" name="Players"/>
    <sheet r:id="rId3" sheetId="3" name="Rounds"/>
    <sheet r:id="rId4" sheetId="4" name="Standings"/>
    <sheet r:id="rId5" sheetId="5" name="Points"/>
    <sheet r:id="rId6" sheetId="6" name="Settings"/>
  </sheets>
  <definedNames/>
  <calcPr fullCalcOnLoad="1"/>
</workbook>
</file>

<file path=xl/sharedStrings.xml><?xml version="1.0" encoding="utf-8"?>
<sst xmlns="http://schemas.openxmlformats.org/spreadsheetml/2006/main">
  <si>
    <t>Quota game spreadsheet</t>
  </si>
  <si>
    <t>Keep your group’s quotas for a season. After each round you add everyone’s points, and each player’s quota, plus/minus and place fill in.</t>
  </si>
  <si>
    <t>How to use it</t>
  </si>
  <si>
    <t>1. On Settings, choose how many recent rounds make up a quota, how many decimal places to keep, and whether new players hold their starting quota.</t>
  </si>
  <si>
    <t>2. On Points, set the points your group gives for each score, and count every round with them.</t>
  </si>
  <si>
    <t>3. On Players, type each player’s name and starting quota. A common starting quota is 36 minus the player’s course handicap.</t>
  </si>
  <si>
    <t>4. After each round, add one row per player on Rounds: the date, the name exactly as it is on Players, and their points.</t>
  </si>
  <si>
    <t>5. Standings shows the season, best total plus/minus first. On Players, Current quota is each player’s quota for their next round.</t>
  </si>
  <si>
    <t>Each round uses the quota the player had going into it, so adding a round never changes an earlier one.</t>
  </si>
  <si>
    <t>Type only in the white columns. The grey ones fill in by themselves.</t>
  </si>
  <si>
    <t>Quotas here are the average of each player’s recent rounds. For the best 10 of 20, or another way, use the free quota calculator on GreenRoster.</t>
  </si>
  <si>
    <t>Points for each score</t>
  </si>
  <si>
    <t>Player</t>
  </si>
  <si>
    <t>Starting quota</t>
  </si>
  <si>
    <t>Handicap (optional)</t>
  </si>
  <si>
    <t>Current quota</t>
  </si>
  <si>
    <t>Rounds played</t>
  </si>
  <si>
    <t>Total plus/minus</t>
  </si>
  <si>
    <t>Wins</t>
  </si>
  <si>
    <t>Standings order</t>
  </si>
  <si>
    <t>Date</t>
  </si>
  <si>
    <t>Points</t>
  </si>
  <si>
    <t>Player’s round number</t>
  </si>
  <si>
    <t>Quota for this round</t>
  </si>
  <si>
    <t>Plus/minus</t>
  </si>
  <si>
    <t>Place</t>
  </si>
  <si>
    <t>Score</t>
  </si>
  <si>
    <t>A common scale, not a rule. Change it to the one your group plays.</t>
  </si>
  <si>
    <t>Eagle or better</t>
  </si>
  <si>
    <t>Birdie</t>
  </si>
  <si>
    <t>Par</t>
  </si>
  <si>
    <t>Bogey</t>
  </si>
  <si>
    <t>Double bogey or worse</t>
  </si>
  <si>
    <t>Setting</t>
  </si>
  <si>
    <t>Value</t>
  </si>
  <si>
    <t>What it does</t>
  </si>
  <si>
    <t>Rounds counted</t>
  </si>
  <si>
    <t>A quota is the average of the player’s latest points totals, up to this many rounds. From 4 to 20.</t>
  </si>
  <si>
    <t>Decimal places</t>
  </si>
  <si>
    <t>Quotas are rounded half up to this many decimal places: 0, 1 or 2.</t>
  </si>
  <si>
    <t>Hold the starting quota</t>
  </si>
  <si>
    <t>No</t>
  </si>
  <si>
    <t>Yes: a player keeps their starting quota until they’ve played as many rounds as are counted. No: the average takes over after their first round.</t>
  </si>
</sst>
</file>

<file path=xl/styles.xml><?xml version="1.0" encoding="utf-8"?>
<styleSheet xmlns="http://schemas.openxmlformats.org/spreadsheetml/2006/main">
  <numFmts count="1">
    <numFmt numFmtId="100" formatCode="mmm d, yyyy"/>
  </numFmts>
  <fonts count="4">
    <font>
      <family val="2"/>
      <scheme val="minor"/>
      <color theme="1"/>
    </font>
    <font>
      <sz val="16"/>
      <family val="2"/>
      <b/>
      <color theme="1"/>
    </font>
    <font>
      <sz val="12"/>
      <family val="2"/>
      <b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7">
    <xf/>
    <xf fontId="1" applyFont="1"/>
    <xf applyAlignment="1">
      <alignment wrapText="1"/>
    </xf>
    <xf fontId="2" applyFont="1"/>
    <xf fontId="3" applyFont="1" borderId="1" applyBorder="1" applyAlignment="1">
      <alignment wrapText="1"/>
    </xf>
    <xf fillId="2" applyFill="1"/>
    <xf numFmtId="100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0" customWidth="1"/>
    <col min="2" max="2" width="8" customWidth="1"/>
  </cols>
  <sheetData>
    <row r="1">
      <c r="A1" s="1" t="s">
        <v>0</v>
      </c>
    </row>
    <row r="2">
      <c r="A2" s="2" t="s">
        <v>1</v>
      </c>
    </row>
    <row r="3"/>
    <row r="4">
      <c r="A4" s="3" t="s">
        <v>2</v>
      </c>
    </row>
    <row r="5">
      <c r="A5" s="2" t="s">
        <v>3</v>
      </c>
    </row>
    <row r="6">
      <c r="A6" s="2" t="s">
        <v>4</v>
      </c>
    </row>
    <row r="7">
      <c r="A7" s="2" t="s">
        <v>5</v>
      </c>
    </row>
    <row r="8">
      <c r="A8" s="2" t="s">
        <v>6</v>
      </c>
    </row>
    <row r="9">
      <c r="A9" s="2" t="s">
        <v>7</v>
      </c>
    </row>
    <row r="10"/>
    <row r="11">
      <c r="A11" s="2" t="s">
        <v>8</v>
      </c>
    </row>
    <row r="12">
      <c r="A12" s="2" t="s">
        <v>9</v>
      </c>
    </row>
    <row r="13">
      <c r="A13" s="2" t="s">
        <v>10</v>
      </c>
    </row>
    <row r="14"/>
    <row r="15">
      <c r="A15" s="3" t="s">
        <v>11</v>
      </c>
    </row>
    <row r="16">
      <c r="A16">
        <f>Points!A2</f>
      </c>
      <c r="B16">
        <f>Points!B2</f>
      </c>
    </row>
    <row r="17">
      <c r="A17">
        <f>Points!A3</f>
      </c>
      <c r="B17">
        <f>Points!B3</f>
      </c>
    </row>
    <row r="18">
      <c r="A18">
        <f>Points!A4</f>
      </c>
      <c r="B18">
        <f>Points!B4</f>
      </c>
    </row>
    <row r="19">
      <c r="A19">
        <f>Points!A5</f>
      </c>
      <c r="B19">
        <f>Points!B5</f>
      </c>
    </row>
    <row r="20">
      <c r="A20">
        <f>Points!A6</f>
      </c>
      <c r="B20">
        <f>Points!B6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10" customWidth="1"/>
    <col min="3" max="3" width="12" customWidth="1"/>
    <col min="4" max="4" width="10" customWidth="1"/>
    <col min="5" max="5" width="10" customWidth="1"/>
    <col min="6" max="6" width="10" customWidth="1"/>
    <col min="7" max="7" width="8" customWidth="1"/>
    <col min="8" max="8" width="10" customWidth="1"/>
  </cols>
  <sheetData>
    <row r="1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</row>
    <row r="2">
      <c r="D2" s="5">
        <f>IF($A2="","",IF(OR($E2=0,AND(Settings!$B$4="Yes",$E2&lt;Settings!$B$2)),IF($B2="","Add a starting quota",ROUND($B2,Settings!$B$3)),ROUND(SUMIFS(Rounds!$C$2:$C$501,Rounds!$B$2:$B$501,$A2,Rounds!$D$2:$D$501,"&gt;"&amp;($E2-Settings!$B$2))/COUNTIFS(Rounds!$B$2:$B$501,$A2,Rounds!$D$2:$D$501,"&gt;"&amp;($E2-Settings!$B$2)),Settings!$B$3)))</f>
      </c>
      <c r="E2" s="5">
        <f>IF($A2="","",COUNTIFS(Rounds!$B$2:$B$501,$A2,Rounds!$D$2:$D$501,"&gt;0"))</f>
      </c>
      <c r="F2" s="5">
        <f>IF($A2="","",ROUND(SUMIFS(Rounds!$F$2:$F$501,Rounds!$B$2:$B$501,$A2),2))</f>
      </c>
      <c r="G2" s="5">
        <f>IF($A2="","",COUNTIFS(Rounds!$B$2:$B$501,$A2,Rounds!$G$2:$G$501,1))</f>
      </c>
      <c r="H2" s="5">
        <f>IF($A2="","",COUNTIF($F$2:$F$101,"&gt;"&amp;$F2)+COUNTIF($F$2:$F2,$F2))</f>
      </c>
    </row>
    <row r="3">
      <c r="D3" s="5">
        <f>IF($A3="","",IF(OR($E3=0,AND(Settings!$B$4="Yes",$E3&lt;Settings!$B$2)),IF($B3="","Add a starting quota",ROUND($B3,Settings!$B$3)),ROUND(SUMIFS(Rounds!$C$2:$C$501,Rounds!$B$2:$B$501,$A3,Rounds!$D$2:$D$501,"&gt;"&amp;($E3-Settings!$B$2))/COUNTIFS(Rounds!$B$2:$B$501,$A3,Rounds!$D$2:$D$501,"&gt;"&amp;($E3-Settings!$B$2)),Settings!$B$3)))</f>
      </c>
      <c r="E3" s="5">
        <f>IF($A3="","",COUNTIFS(Rounds!$B$2:$B$501,$A3,Rounds!$D$2:$D$501,"&gt;0"))</f>
      </c>
      <c r="F3" s="5">
        <f>IF($A3="","",ROUND(SUMIFS(Rounds!$F$2:$F$501,Rounds!$B$2:$B$501,$A3),2))</f>
      </c>
      <c r="G3" s="5">
        <f>IF($A3="","",COUNTIFS(Rounds!$B$2:$B$501,$A3,Rounds!$G$2:$G$501,1))</f>
      </c>
      <c r="H3" s="5">
        <f>IF($A3="","",COUNTIF($F$2:$F$101,"&gt;"&amp;$F3)+COUNTIF($F$2:$F3,$F3))</f>
      </c>
    </row>
    <row r="4">
      <c r="D4" s="5">
        <f>IF($A4="","",IF(OR($E4=0,AND(Settings!$B$4="Yes",$E4&lt;Settings!$B$2)),IF($B4="","Add a starting quota",ROUND($B4,Settings!$B$3)),ROUND(SUMIFS(Rounds!$C$2:$C$501,Rounds!$B$2:$B$501,$A4,Rounds!$D$2:$D$501,"&gt;"&amp;($E4-Settings!$B$2))/COUNTIFS(Rounds!$B$2:$B$501,$A4,Rounds!$D$2:$D$501,"&gt;"&amp;($E4-Settings!$B$2)),Settings!$B$3)))</f>
      </c>
      <c r="E4" s="5">
        <f>IF($A4="","",COUNTIFS(Rounds!$B$2:$B$501,$A4,Rounds!$D$2:$D$501,"&gt;0"))</f>
      </c>
      <c r="F4" s="5">
        <f>IF($A4="","",ROUND(SUMIFS(Rounds!$F$2:$F$501,Rounds!$B$2:$B$501,$A4),2))</f>
      </c>
      <c r="G4" s="5">
        <f>IF($A4="","",COUNTIFS(Rounds!$B$2:$B$501,$A4,Rounds!$G$2:$G$501,1))</f>
      </c>
      <c r="H4" s="5">
        <f>IF($A4="","",COUNTIF($F$2:$F$101,"&gt;"&amp;$F4)+COUNTIF($F$2:$F4,$F4))</f>
      </c>
    </row>
    <row r="5">
      <c r="D5" s="5">
        <f>IF($A5="","",IF(OR($E5=0,AND(Settings!$B$4="Yes",$E5&lt;Settings!$B$2)),IF($B5="","Add a starting quota",ROUND($B5,Settings!$B$3)),ROUND(SUMIFS(Rounds!$C$2:$C$501,Rounds!$B$2:$B$501,$A5,Rounds!$D$2:$D$501,"&gt;"&amp;($E5-Settings!$B$2))/COUNTIFS(Rounds!$B$2:$B$501,$A5,Rounds!$D$2:$D$501,"&gt;"&amp;($E5-Settings!$B$2)),Settings!$B$3)))</f>
      </c>
      <c r="E5" s="5">
        <f>IF($A5="","",COUNTIFS(Rounds!$B$2:$B$501,$A5,Rounds!$D$2:$D$501,"&gt;0"))</f>
      </c>
      <c r="F5" s="5">
        <f>IF($A5="","",ROUND(SUMIFS(Rounds!$F$2:$F$501,Rounds!$B$2:$B$501,$A5),2))</f>
      </c>
      <c r="G5" s="5">
        <f>IF($A5="","",COUNTIFS(Rounds!$B$2:$B$501,$A5,Rounds!$G$2:$G$501,1))</f>
      </c>
      <c r="H5" s="5">
        <f>IF($A5="","",COUNTIF($F$2:$F$101,"&gt;"&amp;$F5)+COUNTIF($F$2:$F5,$F5))</f>
      </c>
    </row>
    <row r="6">
      <c r="D6" s="5">
        <f>IF($A6="","",IF(OR($E6=0,AND(Settings!$B$4="Yes",$E6&lt;Settings!$B$2)),IF($B6="","Add a starting quota",ROUND($B6,Settings!$B$3)),ROUND(SUMIFS(Rounds!$C$2:$C$501,Rounds!$B$2:$B$501,$A6,Rounds!$D$2:$D$501,"&gt;"&amp;($E6-Settings!$B$2))/COUNTIFS(Rounds!$B$2:$B$501,$A6,Rounds!$D$2:$D$501,"&gt;"&amp;($E6-Settings!$B$2)),Settings!$B$3)))</f>
      </c>
      <c r="E6" s="5">
        <f>IF($A6="","",COUNTIFS(Rounds!$B$2:$B$501,$A6,Rounds!$D$2:$D$501,"&gt;0"))</f>
      </c>
      <c r="F6" s="5">
        <f>IF($A6="","",ROUND(SUMIFS(Rounds!$F$2:$F$501,Rounds!$B$2:$B$501,$A6),2))</f>
      </c>
      <c r="G6" s="5">
        <f>IF($A6="","",COUNTIFS(Rounds!$B$2:$B$501,$A6,Rounds!$G$2:$G$501,1))</f>
      </c>
      <c r="H6" s="5">
        <f>IF($A6="","",COUNTIF($F$2:$F$101,"&gt;"&amp;$F6)+COUNTIF($F$2:$F6,$F6))</f>
      </c>
    </row>
    <row r="7">
      <c r="D7" s="5">
        <f>IF($A7="","",IF(OR($E7=0,AND(Settings!$B$4="Yes",$E7&lt;Settings!$B$2)),IF($B7="","Add a starting quota",ROUND($B7,Settings!$B$3)),ROUND(SUMIFS(Rounds!$C$2:$C$501,Rounds!$B$2:$B$501,$A7,Rounds!$D$2:$D$501,"&gt;"&amp;($E7-Settings!$B$2))/COUNTIFS(Rounds!$B$2:$B$501,$A7,Rounds!$D$2:$D$501,"&gt;"&amp;($E7-Settings!$B$2)),Settings!$B$3)))</f>
      </c>
      <c r="E7" s="5">
        <f>IF($A7="","",COUNTIFS(Rounds!$B$2:$B$501,$A7,Rounds!$D$2:$D$501,"&gt;0"))</f>
      </c>
      <c r="F7" s="5">
        <f>IF($A7="","",ROUND(SUMIFS(Rounds!$F$2:$F$501,Rounds!$B$2:$B$501,$A7),2))</f>
      </c>
      <c r="G7" s="5">
        <f>IF($A7="","",COUNTIFS(Rounds!$B$2:$B$501,$A7,Rounds!$G$2:$G$501,1))</f>
      </c>
      <c r="H7" s="5">
        <f>IF($A7="","",COUNTIF($F$2:$F$101,"&gt;"&amp;$F7)+COUNTIF($F$2:$F7,$F7))</f>
      </c>
    </row>
    <row r="8">
      <c r="D8" s="5">
        <f>IF($A8="","",IF(OR($E8=0,AND(Settings!$B$4="Yes",$E8&lt;Settings!$B$2)),IF($B8="","Add a starting quota",ROUND($B8,Settings!$B$3)),ROUND(SUMIFS(Rounds!$C$2:$C$501,Rounds!$B$2:$B$501,$A8,Rounds!$D$2:$D$501,"&gt;"&amp;($E8-Settings!$B$2))/COUNTIFS(Rounds!$B$2:$B$501,$A8,Rounds!$D$2:$D$501,"&gt;"&amp;($E8-Settings!$B$2)),Settings!$B$3)))</f>
      </c>
      <c r="E8" s="5">
        <f>IF($A8="","",COUNTIFS(Rounds!$B$2:$B$501,$A8,Rounds!$D$2:$D$501,"&gt;0"))</f>
      </c>
      <c r="F8" s="5">
        <f>IF($A8="","",ROUND(SUMIFS(Rounds!$F$2:$F$501,Rounds!$B$2:$B$501,$A8),2))</f>
      </c>
      <c r="G8" s="5">
        <f>IF($A8="","",COUNTIFS(Rounds!$B$2:$B$501,$A8,Rounds!$G$2:$G$501,1))</f>
      </c>
      <c r="H8" s="5">
        <f>IF($A8="","",COUNTIF($F$2:$F$101,"&gt;"&amp;$F8)+COUNTIF($F$2:$F8,$F8))</f>
      </c>
    </row>
    <row r="9">
      <c r="D9" s="5">
        <f>IF($A9="","",IF(OR($E9=0,AND(Settings!$B$4="Yes",$E9&lt;Settings!$B$2)),IF($B9="","Add a starting quota",ROUND($B9,Settings!$B$3)),ROUND(SUMIFS(Rounds!$C$2:$C$501,Rounds!$B$2:$B$501,$A9,Rounds!$D$2:$D$501,"&gt;"&amp;($E9-Settings!$B$2))/COUNTIFS(Rounds!$B$2:$B$501,$A9,Rounds!$D$2:$D$501,"&gt;"&amp;($E9-Settings!$B$2)),Settings!$B$3)))</f>
      </c>
      <c r="E9" s="5">
        <f>IF($A9="","",COUNTIFS(Rounds!$B$2:$B$501,$A9,Rounds!$D$2:$D$501,"&gt;0"))</f>
      </c>
      <c r="F9" s="5">
        <f>IF($A9="","",ROUND(SUMIFS(Rounds!$F$2:$F$501,Rounds!$B$2:$B$501,$A9),2))</f>
      </c>
      <c r="G9" s="5">
        <f>IF($A9="","",COUNTIFS(Rounds!$B$2:$B$501,$A9,Rounds!$G$2:$G$501,1))</f>
      </c>
      <c r="H9" s="5">
        <f>IF($A9="","",COUNTIF($F$2:$F$101,"&gt;"&amp;$F9)+COUNTIF($F$2:$F9,$F9))</f>
      </c>
    </row>
    <row r="10">
      <c r="D10" s="5">
        <f>IF($A10="","",IF(OR($E10=0,AND(Settings!$B$4="Yes",$E10&lt;Settings!$B$2)),IF($B10="","Add a starting quota",ROUND($B10,Settings!$B$3)),ROUND(SUMIFS(Rounds!$C$2:$C$501,Rounds!$B$2:$B$501,$A10,Rounds!$D$2:$D$501,"&gt;"&amp;($E10-Settings!$B$2))/COUNTIFS(Rounds!$B$2:$B$501,$A10,Rounds!$D$2:$D$501,"&gt;"&amp;($E10-Settings!$B$2)),Settings!$B$3)))</f>
      </c>
      <c r="E10" s="5">
        <f>IF($A10="","",COUNTIFS(Rounds!$B$2:$B$501,$A10,Rounds!$D$2:$D$501,"&gt;0"))</f>
      </c>
      <c r="F10" s="5">
        <f>IF($A10="","",ROUND(SUMIFS(Rounds!$F$2:$F$501,Rounds!$B$2:$B$501,$A10),2))</f>
      </c>
      <c r="G10" s="5">
        <f>IF($A10="","",COUNTIFS(Rounds!$B$2:$B$501,$A10,Rounds!$G$2:$G$501,1))</f>
      </c>
      <c r="H10" s="5">
        <f>IF($A10="","",COUNTIF($F$2:$F$101,"&gt;"&amp;$F10)+COUNTIF($F$2:$F10,$F10))</f>
      </c>
    </row>
    <row r="11">
      <c r="D11" s="5">
        <f>IF($A11="","",IF(OR($E11=0,AND(Settings!$B$4="Yes",$E11&lt;Settings!$B$2)),IF($B11="","Add a starting quota",ROUND($B11,Settings!$B$3)),ROUND(SUMIFS(Rounds!$C$2:$C$501,Rounds!$B$2:$B$501,$A11,Rounds!$D$2:$D$501,"&gt;"&amp;($E11-Settings!$B$2))/COUNTIFS(Rounds!$B$2:$B$501,$A11,Rounds!$D$2:$D$501,"&gt;"&amp;($E11-Settings!$B$2)),Settings!$B$3)))</f>
      </c>
      <c r="E11" s="5">
        <f>IF($A11="","",COUNTIFS(Rounds!$B$2:$B$501,$A11,Rounds!$D$2:$D$501,"&gt;0"))</f>
      </c>
      <c r="F11" s="5">
        <f>IF($A11="","",ROUND(SUMIFS(Rounds!$F$2:$F$501,Rounds!$B$2:$B$501,$A11),2))</f>
      </c>
      <c r="G11" s="5">
        <f>IF($A11="","",COUNTIFS(Rounds!$B$2:$B$501,$A11,Rounds!$G$2:$G$501,1))</f>
      </c>
      <c r="H11" s="5">
        <f>IF($A11="","",COUNTIF($F$2:$F$101,"&gt;"&amp;$F11)+COUNTIF($F$2:$F11,$F11))</f>
      </c>
    </row>
    <row r="12">
      <c r="D12" s="5">
        <f>IF($A12="","",IF(OR($E12=0,AND(Settings!$B$4="Yes",$E12&lt;Settings!$B$2)),IF($B12="","Add a starting quota",ROUND($B12,Settings!$B$3)),ROUND(SUMIFS(Rounds!$C$2:$C$501,Rounds!$B$2:$B$501,$A12,Rounds!$D$2:$D$501,"&gt;"&amp;($E12-Settings!$B$2))/COUNTIFS(Rounds!$B$2:$B$501,$A12,Rounds!$D$2:$D$501,"&gt;"&amp;($E12-Settings!$B$2)),Settings!$B$3)))</f>
      </c>
      <c r="E12" s="5">
        <f>IF($A12="","",COUNTIFS(Rounds!$B$2:$B$501,$A12,Rounds!$D$2:$D$501,"&gt;0"))</f>
      </c>
      <c r="F12" s="5">
        <f>IF($A12="","",ROUND(SUMIFS(Rounds!$F$2:$F$501,Rounds!$B$2:$B$501,$A12),2))</f>
      </c>
      <c r="G12" s="5">
        <f>IF($A12="","",COUNTIFS(Rounds!$B$2:$B$501,$A12,Rounds!$G$2:$G$501,1))</f>
      </c>
      <c r="H12" s="5">
        <f>IF($A12="","",COUNTIF($F$2:$F$101,"&gt;"&amp;$F12)+COUNTIF($F$2:$F12,$F12))</f>
      </c>
    </row>
    <row r="13">
      <c r="D13" s="5">
        <f>IF($A13="","",IF(OR($E13=0,AND(Settings!$B$4="Yes",$E13&lt;Settings!$B$2)),IF($B13="","Add a starting quota",ROUND($B13,Settings!$B$3)),ROUND(SUMIFS(Rounds!$C$2:$C$501,Rounds!$B$2:$B$501,$A13,Rounds!$D$2:$D$501,"&gt;"&amp;($E13-Settings!$B$2))/COUNTIFS(Rounds!$B$2:$B$501,$A13,Rounds!$D$2:$D$501,"&gt;"&amp;($E13-Settings!$B$2)),Settings!$B$3)))</f>
      </c>
      <c r="E13" s="5">
        <f>IF($A13="","",COUNTIFS(Rounds!$B$2:$B$501,$A13,Rounds!$D$2:$D$501,"&gt;0"))</f>
      </c>
      <c r="F13" s="5">
        <f>IF($A13="","",ROUND(SUMIFS(Rounds!$F$2:$F$501,Rounds!$B$2:$B$501,$A13),2))</f>
      </c>
      <c r="G13" s="5">
        <f>IF($A13="","",COUNTIFS(Rounds!$B$2:$B$501,$A13,Rounds!$G$2:$G$501,1))</f>
      </c>
      <c r="H13" s="5">
        <f>IF($A13="","",COUNTIF($F$2:$F$101,"&gt;"&amp;$F13)+COUNTIF($F$2:$F13,$F13))</f>
      </c>
    </row>
    <row r="14">
      <c r="D14" s="5">
        <f>IF($A14="","",IF(OR($E14=0,AND(Settings!$B$4="Yes",$E14&lt;Settings!$B$2)),IF($B14="","Add a starting quota",ROUND($B14,Settings!$B$3)),ROUND(SUMIFS(Rounds!$C$2:$C$501,Rounds!$B$2:$B$501,$A14,Rounds!$D$2:$D$501,"&gt;"&amp;($E14-Settings!$B$2))/COUNTIFS(Rounds!$B$2:$B$501,$A14,Rounds!$D$2:$D$501,"&gt;"&amp;($E14-Settings!$B$2)),Settings!$B$3)))</f>
      </c>
      <c r="E14" s="5">
        <f>IF($A14="","",COUNTIFS(Rounds!$B$2:$B$501,$A14,Rounds!$D$2:$D$501,"&gt;0"))</f>
      </c>
      <c r="F14" s="5">
        <f>IF($A14="","",ROUND(SUMIFS(Rounds!$F$2:$F$501,Rounds!$B$2:$B$501,$A14),2))</f>
      </c>
      <c r="G14" s="5">
        <f>IF($A14="","",COUNTIFS(Rounds!$B$2:$B$501,$A14,Rounds!$G$2:$G$501,1))</f>
      </c>
      <c r="H14" s="5">
        <f>IF($A14="","",COUNTIF($F$2:$F$101,"&gt;"&amp;$F14)+COUNTIF($F$2:$F14,$F14))</f>
      </c>
    </row>
    <row r="15">
      <c r="D15" s="5">
        <f>IF($A15="","",IF(OR($E15=0,AND(Settings!$B$4="Yes",$E15&lt;Settings!$B$2)),IF($B15="","Add a starting quota",ROUND($B15,Settings!$B$3)),ROUND(SUMIFS(Rounds!$C$2:$C$501,Rounds!$B$2:$B$501,$A15,Rounds!$D$2:$D$501,"&gt;"&amp;($E15-Settings!$B$2))/COUNTIFS(Rounds!$B$2:$B$501,$A15,Rounds!$D$2:$D$501,"&gt;"&amp;($E15-Settings!$B$2)),Settings!$B$3)))</f>
      </c>
      <c r="E15" s="5">
        <f>IF($A15="","",COUNTIFS(Rounds!$B$2:$B$501,$A15,Rounds!$D$2:$D$501,"&gt;0"))</f>
      </c>
      <c r="F15" s="5">
        <f>IF($A15="","",ROUND(SUMIFS(Rounds!$F$2:$F$501,Rounds!$B$2:$B$501,$A15),2))</f>
      </c>
      <c r="G15" s="5">
        <f>IF($A15="","",COUNTIFS(Rounds!$B$2:$B$501,$A15,Rounds!$G$2:$G$501,1))</f>
      </c>
      <c r="H15" s="5">
        <f>IF($A15="","",COUNTIF($F$2:$F$101,"&gt;"&amp;$F15)+COUNTIF($F$2:$F15,$F15))</f>
      </c>
    </row>
    <row r="16">
      <c r="D16" s="5">
        <f>IF($A16="","",IF(OR($E16=0,AND(Settings!$B$4="Yes",$E16&lt;Settings!$B$2)),IF($B16="","Add a starting quota",ROUND($B16,Settings!$B$3)),ROUND(SUMIFS(Rounds!$C$2:$C$501,Rounds!$B$2:$B$501,$A16,Rounds!$D$2:$D$501,"&gt;"&amp;($E16-Settings!$B$2))/COUNTIFS(Rounds!$B$2:$B$501,$A16,Rounds!$D$2:$D$501,"&gt;"&amp;($E16-Settings!$B$2)),Settings!$B$3)))</f>
      </c>
      <c r="E16" s="5">
        <f>IF($A16="","",COUNTIFS(Rounds!$B$2:$B$501,$A16,Rounds!$D$2:$D$501,"&gt;0"))</f>
      </c>
      <c r="F16" s="5">
        <f>IF($A16="","",ROUND(SUMIFS(Rounds!$F$2:$F$501,Rounds!$B$2:$B$501,$A16),2))</f>
      </c>
      <c r="G16" s="5">
        <f>IF($A16="","",COUNTIFS(Rounds!$B$2:$B$501,$A16,Rounds!$G$2:$G$501,1))</f>
      </c>
      <c r="H16" s="5">
        <f>IF($A16="","",COUNTIF($F$2:$F$101,"&gt;"&amp;$F16)+COUNTIF($F$2:$F16,$F16))</f>
      </c>
    </row>
    <row r="17">
      <c r="D17" s="5">
        <f>IF($A17="","",IF(OR($E17=0,AND(Settings!$B$4="Yes",$E17&lt;Settings!$B$2)),IF($B17="","Add a starting quota",ROUND($B17,Settings!$B$3)),ROUND(SUMIFS(Rounds!$C$2:$C$501,Rounds!$B$2:$B$501,$A17,Rounds!$D$2:$D$501,"&gt;"&amp;($E17-Settings!$B$2))/COUNTIFS(Rounds!$B$2:$B$501,$A17,Rounds!$D$2:$D$501,"&gt;"&amp;($E17-Settings!$B$2)),Settings!$B$3)))</f>
      </c>
      <c r="E17" s="5">
        <f>IF($A17="","",COUNTIFS(Rounds!$B$2:$B$501,$A17,Rounds!$D$2:$D$501,"&gt;0"))</f>
      </c>
      <c r="F17" s="5">
        <f>IF($A17="","",ROUND(SUMIFS(Rounds!$F$2:$F$501,Rounds!$B$2:$B$501,$A17),2))</f>
      </c>
      <c r="G17" s="5">
        <f>IF($A17="","",COUNTIFS(Rounds!$B$2:$B$501,$A17,Rounds!$G$2:$G$501,1))</f>
      </c>
      <c r="H17" s="5">
        <f>IF($A17="","",COUNTIF($F$2:$F$101,"&gt;"&amp;$F17)+COUNTIF($F$2:$F17,$F17))</f>
      </c>
    </row>
    <row r="18">
      <c r="D18" s="5">
        <f>IF($A18="","",IF(OR($E18=0,AND(Settings!$B$4="Yes",$E18&lt;Settings!$B$2)),IF($B18="","Add a starting quota",ROUND($B18,Settings!$B$3)),ROUND(SUMIFS(Rounds!$C$2:$C$501,Rounds!$B$2:$B$501,$A18,Rounds!$D$2:$D$501,"&gt;"&amp;($E18-Settings!$B$2))/COUNTIFS(Rounds!$B$2:$B$501,$A18,Rounds!$D$2:$D$501,"&gt;"&amp;($E18-Settings!$B$2)),Settings!$B$3)))</f>
      </c>
      <c r="E18" s="5">
        <f>IF($A18="","",COUNTIFS(Rounds!$B$2:$B$501,$A18,Rounds!$D$2:$D$501,"&gt;0"))</f>
      </c>
      <c r="F18" s="5">
        <f>IF($A18="","",ROUND(SUMIFS(Rounds!$F$2:$F$501,Rounds!$B$2:$B$501,$A18),2))</f>
      </c>
      <c r="G18" s="5">
        <f>IF($A18="","",COUNTIFS(Rounds!$B$2:$B$501,$A18,Rounds!$G$2:$G$501,1))</f>
      </c>
      <c r="H18" s="5">
        <f>IF($A18="","",COUNTIF($F$2:$F$101,"&gt;"&amp;$F18)+COUNTIF($F$2:$F18,$F18))</f>
      </c>
    </row>
    <row r="19">
      <c r="D19" s="5">
        <f>IF($A19="","",IF(OR($E19=0,AND(Settings!$B$4="Yes",$E19&lt;Settings!$B$2)),IF($B19="","Add a starting quota",ROUND($B19,Settings!$B$3)),ROUND(SUMIFS(Rounds!$C$2:$C$501,Rounds!$B$2:$B$501,$A19,Rounds!$D$2:$D$501,"&gt;"&amp;($E19-Settings!$B$2))/COUNTIFS(Rounds!$B$2:$B$501,$A19,Rounds!$D$2:$D$501,"&gt;"&amp;($E19-Settings!$B$2)),Settings!$B$3)))</f>
      </c>
      <c r="E19" s="5">
        <f>IF($A19="","",COUNTIFS(Rounds!$B$2:$B$501,$A19,Rounds!$D$2:$D$501,"&gt;0"))</f>
      </c>
      <c r="F19" s="5">
        <f>IF($A19="","",ROUND(SUMIFS(Rounds!$F$2:$F$501,Rounds!$B$2:$B$501,$A19),2))</f>
      </c>
      <c r="G19" s="5">
        <f>IF($A19="","",COUNTIFS(Rounds!$B$2:$B$501,$A19,Rounds!$G$2:$G$501,1))</f>
      </c>
      <c r="H19" s="5">
        <f>IF($A19="","",COUNTIF($F$2:$F$101,"&gt;"&amp;$F19)+COUNTIF($F$2:$F19,$F19))</f>
      </c>
    </row>
    <row r="20">
      <c r="D20" s="5">
        <f>IF($A20="","",IF(OR($E20=0,AND(Settings!$B$4="Yes",$E20&lt;Settings!$B$2)),IF($B20="","Add a starting quota",ROUND($B20,Settings!$B$3)),ROUND(SUMIFS(Rounds!$C$2:$C$501,Rounds!$B$2:$B$501,$A20,Rounds!$D$2:$D$501,"&gt;"&amp;($E20-Settings!$B$2))/COUNTIFS(Rounds!$B$2:$B$501,$A20,Rounds!$D$2:$D$501,"&gt;"&amp;($E20-Settings!$B$2)),Settings!$B$3)))</f>
      </c>
      <c r="E20" s="5">
        <f>IF($A20="","",COUNTIFS(Rounds!$B$2:$B$501,$A20,Rounds!$D$2:$D$501,"&gt;0"))</f>
      </c>
      <c r="F20" s="5">
        <f>IF($A20="","",ROUND(SUMIFS(Rounds!$F$2:$F$501,Rounds!$B$2:$B$501,$A20),2))</f>
      </c>
      <c r="G20" s="5">
        <f>IF($A20="","",COUNTIFS(Rounds!$B$2:$B$501,$A20,Rounds!$G$2:$G$501,1))</f>
      </c>
      <c r="H20" s="5">
        <f>IF($A20="","",COUNTIF($F$2:$F$101,"&gt;"&amp;$F20)+COUNTIF($F$2:$F20,$F20))</f>
      </c>
    </row>
    <row r="21">
      <c r="D21" s="5">
        <f>IF($A21="","",IF(OR($E21=0,AND(Settings!$B$4="Yes",$E21&lt;Settings!$B$2)),IF($B21="","Add a starting quota",ROUND($B21,Settings!$B$3)),ROUND(SUMIFS(Rounds!$C$2:$C$501,Rounds!$B$2:$B$501,$A21,Rounds!$D$2:$D$501,"&gt;"&amp;($E21-Settings!$B$2))/COUNTIFS(Rounds!$B$2:$B$501,$A21,Rounds!$D$2:$D$501,"&gt;"&amp;($E21-Settings!$B$2)),Settings!$B$3)))</f>
      </c>
      <c r="E21" s="5">
        <f>IF($A21="","",COUNTIFS(Rounds!$B$2:$B$501,$A21,Rounds!$D$2:$D$501,"&gt;0"))</f>
      </c>
      <c r="F21" s="5">
        <f>IF($A21="","",ROUND(SUMIFS(Rounds!$F$2:$F$501,Rounds!$B$2:$B$501,$A21),2))</f>
      </c>
      <c r="G21" s="5">
        <f>IF($A21="","",COUNTIFS(Rounds!$B$2:$B$501,$A21,Rounds!$G$2:$G$501,1))</f>
      </c>
      <c r="H21" s="5">
        <f>IF($A21="","",COUNTIF($F$2:$F$101,"&gt;"&amp;$F21)+COUNTIF($F$2:$F21,$F21))</f>
      </c>
    </row>
    <row r="22">
      <c r="D22" s="5">
        <f>IF($A22="","",IF(OR($E22=0,AND(Settings!$B$4="Yes",$E22&lt;Settings!$B$2)),IF($B22="","Add a starting quota",ROUND($B22,Settings!$B$3)),ROUND(SUMIFS(Rounds!$C$2:$C$501,Rounds!$B$2:$B$501,$A22,Rounds!$D$2:$D$501,"&gt;"&amp;($E22-Settings!$B$2))/COUNTIFS(Rounds!$B$2:$B$501,$A22,Rounds!$D$2:$D$501,"&gt;"&amp;($E22-Settings!$B$2)),Settings!$B$3)))</f>
      </c>
      <c r="E22" s="5">
        <f>IF($A22="","",COUNTIFS(Rounds!$B$2:$B$501,$A22,Rounds!$D$2:$D$501,"&gt;0"))</f>
      </c>
      <c r="F22" s="5">
        <f>IF($A22="","",ROUND(SUMIFS(Rounds!$F$2:$F$501,Rounds!$B$2:$B$501,$A22),2))</f>
      </c>
      <c r="G22" s="5">
        <f>IF($A22="","",COUNTIFS(Rounds!$B$2:$B$501,$A22,Rounds!$G$2:$G$501,1))</f>
      </c>
      <c r="H22" s="5">
        <f>IF($A22="","",COUNTIF($F$2:$F$101,"&gt;"&amp;$F22)+COUNTIF($F$2:$F22,$F22))</f>
      </c>
    </row>
    <row r="23">
      <c r="D23" s="5">
        <f>IF($A23="","",IF(OR($E23=0,AND(Settings!$B$4="Yes",$E23&lt;Settings!$B$2)),IF($B23="","Add a starting quota",ROUND($B23,Settings!$B$3)),ROUND(SUMIFS(Rounds!$C$2:$C$501,Rounds!$B$2:$B$501,$A23,Rounds!$D$2:$D$501,"&gt;"&amp;($E23-Settings!$B$2))/COUNTIFS(Rounds!$B$2:$B$501,$A23,Rounds!$D$2:$D$501,"&gt;"&amp;($E23-Settings!$B$2)),Settings!$B$3)))</f>
      </c>
      <c r="E23" s="5">
        <f>IF($A23="","",COUNTIFS(Rounds!$B$2:$B$501,$A23,Rounds!$D$2:$D$501,"&gt;0"))</f>
      </c>
      <c r="F23" s="5">
        <f>IF($A23="","",ROUND(SUMIFS(Rounds!$F$2:$F$501,Rounds!$B$2:$B$501,$A23),2))</f>
      </c>
      <c r="G23" s="5">
        <f>IF($A23="","",COUNTIFS(Rounds!$B$2:$B$501,$A23,Rounds!$G$2:$G$501,1))</f>
      </c>
      <c r="H23" s="5">
        <f>IF($A23="","",COUNTIF($F$2:$F$101,"&gt;"&amp;$F23)+COUNTIF($F$2:$F23,$F23))</f>
      </c>
    </row>
    <row r="24">
      <c r="D24" s="5">
        <f>IF($A24="","",IF(OR($E24=0,AND(Settings!$B$4="Yes",$E24&lt;Settings!$B$2)),IF($B24="","Add a starting quota",ROUND($B24,Settings!$B$3)),ROUND(SUMIFS(Rounds!$C$2:$C$501,Rounds!$B$2:$B$501,$A24,Rounds!$D$2:$D$501,"&gt;"&amp;($E24-Settings!$B$2))/COUNTIFS(Rounds!$B$2:$B$501,$A24,Rounds!$D$2:$D$501,"&gt;"&amp;($E24-Settings!$B$2)),Settings!$B$3)))</f>
      </c>
      <c r="E24" s="5">
        <f>IF($A24="","",COUNTIFS(Rounds!$B$2:$B$501,$A24,Rounds!$D$2:$D$501,"&gt;0"))</f>
      </c>
      <c r="F24" s="5">
        <f>IF($A24="","",ROUND(SUMIFS(Rounds!$F$2:$F$501,Rounds!$B$2:$B$501,$A24),2))</f>
      </c>
      <c r="G24" s="5">
        <f>IF($A24="","",COUNTIFS(Rounds!$B$2:$B$501,$A24,Rounds!$G$2:$G$501,1))</f>
      </c>
      <c r="H24" s="5">
        <f>IF($A24="","",COUNTIF($F$2:$F$101,"&gt;"&amp;$F24)+COUNTIF($F$2:$F24,$F24))</f>
      </c>
    </row>
    <row r="25">
      <c r="D25" s="5">
        <f>IF($A25="","",IF(OR($E25=0,AND(Settings!$B$4="Yes",$E25&lt;Settings!$B$2)),IF($B25="","Add a starting quota",ROUND($B25,Settings!$B$3)),ROUND(SUMIFS(Rounds!$C$2:$C$501,Rounds!$B$2:$B$501,$A25,Rounds!$D$2:$D$501,"&gt;"&amp;($E25-Settings!$B$2))/COUNTIFS(Rounds!$B$2:$B$501,$A25,Rounds!$D$2:$D$501,"&gt;"&amp;($E25-Settings!$B$2)),Settings!$B$3)))</f>
      </c>
      <c r="E25" s="5">
        <f>IF($A25="","",COUNTIFS(Rounds!$B$2:$B$501,$A25,Rounds!$D$2:$D$501,"&gt;0"))</f>
      </c>
      <c r="F25" s="5">
        <f>IF($A25="","",ROUND(SUMIFS(Rounds!$F$2:$F$501,Rounds!$B$2:$B$501,$A25),2))</f>
      </c>
      <c r="G25" s="5">
        <f>IF($A25="","",COUNTIFS(Rounds!$B$2:$B$501,$A25,Rounds!$G$2:$G$501,1))</f>
      </c>
      <c r="H25" s="5">
        <f>IF($A25="","",COUNTIF($F$2:$F$101,"&gt;"&amp;$F25)+COUNTIF($F$2:$F25,$F25))</f>
      </c>
    </row>
    <row r="26">
      <c r="D26" s="5">
        <f>IF($A26="","",IF(OR($E26=0,AND(Settings!$B$4="Yes",$E26&lt;Settings!$B$2)),IF($B26="","Add a starting quota",ROUND($B26,Settings!$B$3)),ROUND(SUMIFS(Rounds!$C$2:$C$501,Rounds!$B$2:$B$501,$A26,Rounds!$D$2:$D$501,"&gt;"&amp;($E26-Settings!$B$2))/COUNTIFS(Rounds!$B$2:$B$501,$A26,Rounds!$D$2:$D$501,"&gt;"&amp;($E26-Settings!$B$2)),Settings!$B$3)))</f>
      </c>
      <c r="E26" s="5">
        <f>IF($A26="","",COUNTIFS(Rounds!$B$2:$B$501,$A26,Rounds!$D$2:$D$501,"&gt;0"))</f>
      </c>
      <c r="F26" s="5">
        <f>IF($A26="","",ROUND(SUMIFS(Rounds!$F$2:$F$501,Rounds!$B$2:$B$501,$A26),2))</f>
      </c>
      <c r="G26" s="5">
        <f>IF($A26="","",COUNTIFS(Rounds!$B$2:$B$501,$A26,Rounds!$G$2:$G$501,1))</f>
      </c>
      <c r="H26" s="5">
        <f>IF($A26="","",COUNTIF($F$2:$F$101,"&gt;"&amp;$F26)+COUNTIF($F$2:$F26,$F26))</f>
      </c>
    </row>
    <row r="27">
      <c r="D27" s="5">
        <f>IF($A27="","",IF(OR($E27=0,AND(Settings!$B$4="Yes",$E27&lt;Settings!$B$2)),IF($B27="","Add a starting quota",ROUND($B27,Settings!$B$3)),ROUND(SUMIFS(Rounds!$C$2:$C$501,Rounds!$B$2:$B$501,$A27,Rounds!$D$2:$D$501,"&gt;"&amp;($E27-Settings!$B$2))/COUNTIFS(Rounds!$B$2:$B$501,$A27,Rounds!$D$2:$D$501,"&gt;"&amp;($E27-Settings!$B$2)),Settings!$B$3)))</f>
      </c>
      <c r="E27" s="5">
        <f>IF($A27="","",COUNTIFS(Rounds!$B$2:$B$501,$A27,Rounds!$D$2:$D$501,"&gt;0"))</f>
      </c>
      <c r="F27" s="5">
        <f>IF($A27="","",ROUND(SUMIFS(Rounds!$F$2:$F$501,Rounds!$B$2:$B$501,$A27),2))</f>
      </c>
      <c r="G27" s="5">
        <f>IF($A27="","",COUNTIFS(Rounds!$B$2:$B$501,$A27,Rounds!$G$2:$G$501,1))</f>
      </c>
      <c r="H27" s="5">
        <f>IF($A27="","",COUNTIF($F$2:$F$101,"&gt;"&amp;$F27)+COUNTIF($F$2:$F27,$F27))</f>
      </c>
    </row>
    <row r="28">
      <c r="D28" s="5">
        <f>IF($A28="","",IF(OR($E28=0,AND(Settings!$B$4="Yes",$E28&lt;Settings!$B$2)),IF($B28="","Add a starting quota",ROUND($B28,Settings!$B$3)),ROUND(SUMIFS(Rounds!$C$2:$C$501,Rounds!$B$2:$B$501,$A28,Rounds!$D$2:$D$501,"&gt;"&amp;($E28-Settings!$B$2))/COUNTIFS(Rounds!$B$2:$B$501,$A28,Rounds!$D$2:$D$501,"&gt;"&amp;($E28-Settings!$B$2)),Settings!$B$3)))</f>
      </c>
      <c r="E28" s="5">
        <f>IF($A28="","",COUNTIFS(Rounds!$B$2:$B$501,$A28,Rounds!$D$2:$D$501,"&gt;0"))</f>
      </c>
      <c r="F28" s="5">
        <f>IF($A28="","",ROUND(SUMIFS(Rounds!$F$2:$F$501,Rounds!$B$2:$B$501,$A28),2))</f>
      </c>
      <c r="G28" s="5">
        <f>IF($A28="","",COUNTIFS(Rounds!$B$2:$B$501,$A28,Rounds!$G$2:$G$501,1))</f>
      </c>
      <c r="H28" s="5">
        <f>IF($A28="","",COUNTIF($F$2:$F$101,"&gt;"&amp;$F28)+COUNTIF($F$2:$F28,$F28))</f>
      </c>
    </row>
    <row r="29">
      <c r="D29" s="5">
        <f>IF($A29="","",IF(OR($E29=0,AND(Settings!$B$4="Yes",$E29&lt;Settings!$B$2)),IF($B29="","Add a starting quota",ROUND($B29,Settings!$B$3)),ROUND(SUMIFS(Rounds!$C$2:$C$501,Rounds!$B$2:$B$501,$A29,Rounds!$D$2:$D$501,"&gt;"&amp;($E29-Settings!$B$2))/COUNTIFS(Rounds!$B$2:$B$501,$A29,Rounds!$D$2:$D$501,"&gt;"&amp;($E29-Settings!$B$2)),Settings!$B$3)))</f>
      </c>
      <c r="E29" s="5">
        <f>IF($A29="","",COUNTIFS(Rounds!$B$2:$B$501,$A29,Rounds!$D$2:$D$501,"&gt;0"))</f>
      </c>
      <c r="F29" s="5">
        <f>IF($A29="","",ROUND(SUMIFS(Rounds!$F$2:$F$501,Rounds!$B$2:$B$501,$A29),2))</f>
      </c>
      <c r="G29" s="5">
        <f>IF($A29="","",COUNTIFS(Rounds!$B$2:$B$501,$A29,Rounds!$G$2:$G$501,1))</f>
      </c>
      <c r="H29" s="5">
        <f>IF($A29="","",COUNTIF($F$2:$F$101,"&gt;"&amp;$F29)+COUNTIF($F$2:$F29,$F29))</f>
      </c>
    </row>
    <row r="30">
      <c r="D30" s="5">
        <f>IF($A30="","",IF(OR($E30=0,AND(Settings!$B$4="Yes",$E30&lt;Settings!$B$2)),IF($B30="","Add a starting quota",ROUND($B30,Settings!$B$3)),ROUND(SUMIFS(Rounds!$C$2:$C$501,Rounds!$B$2:$B$501,$A30,Rounds!$D$2:$D$501,"&gt;"&amp;($E30-Settings!$B$2))/COUNTIFS(Rounds!$B$2:$B$501,$A30,Rounds!$D$2:$D$501,"&gt;"&amp;($E30-Settings!$B$2)),Settings!$B$3)))</f>
      </c>
      <c r="E30" s="5">
        <f>IF($A30="","",COUNTIFS(Rounds!$B$2:$B$501,$A30,Rounds!$D$2:$D$501,"&gt;0"))</f>
      </c>
      <c r="F30" s="5">
        <f>IF($A30="","",ROUND(SUMIFS(Rounds!$F$2:$F$501,Rounds!$B$2:$B$501,$A30),2))</f>
      </c>
      <c r="G30" s="5">
        <f>IF($A30="","",COUNTIFS(Rounds!$B$2:$B$501,$A30,Rounds!$G$2:$G$501,1))</f>
      </c>
      <c r="H30" s="5">
        <f>IF($A30="","",COUNTIF($F$2:$F$101,"&gt;"&amp;$F30)+COUNTIF($F$2:$F30,$F30))</f>
      </c>
    </row>
    <row r="31">
      <c r="D31" s="5">
        <f>IF($A31="","",IF(OR($E31=0,AND(Settings!$B$4="Yes",$E31&lt;Settings!$B$2)),IF($B31="","Add a starting quota",ROUND($B31,Settings!$B$3)),ROUND(SUMIFS(Rounds!$C$2:$C$501,Rounds!$B$2:$B$501,$A31,Rounds!$D$2:$D$501,"&gt;"&amp;($E31-Settings!$B$2))/COUNTIFS(Rounds!$B$2:$B$501,$A31,Rounds!$D$2:$D$501,"&gt;"&amp;($E31-Settings!$B$2)),Settings!$B$3)))</f>
      </c>
      <c r="E31" s="5">
        <f>IF($A31="","",COUNTIFS(Rounds!$B$2:$B$501,$A31,Rounds!$D$2:$D$501,"&gt;0"))</f>
      </c>
      <c r="F31" s="5">
        <f>IF($A31="","",ROUND(SUMIFS(Rounds!$F$2:$F$501,Rounds!$B$2:$B$501,$A31),2))</f>
      </c>
      <c r="G31" s="5">
        <f>IF($A31="","",COUNTIFS(Rounds!$B$2:$B$501,$A31,Rounds!$G$2:$G$501,1))</f>
      </c>
      <c r="H31" s="5">
        <f>IF($A31="","",COUNTIF($F$2:$F$101,"&gt;"&amp;$F31)+COUNTIF($F$2:$F31,$F31))</f>
      </c>
    </row>
    <row r="32">
      <c r="D32" s="5">
        <f>IF($A32="","",IF(OR($E32=0,AND(Settings!$B$4="Yes",$E32&lt;Settings!$B$2)),IF($B32="","Add a starting quota",ROUND($B32,Settings!$B$3)),ROUND(SUMIFS(Rounds!$C$2:$C$501,Rounds!$B$2:$B$501,$A32,Rounds!$D$2:$D$501,"&gt;"&amp;($E32-Settings!$B$2))/COUNTIFS(Rounds!$B$2:$B$501,$A32,Rounds!$D$2:$D$501,"&gt;"&amp;($E32-Settings!$B$2)),Settings!$B$3)))</f>
      </c>
      <c r="E32" s="5">
        <f>IF($A32="","",COUNTIFS(Rounds!$B$2:$B$501,$A32,Rounds!$D$2:$D$501,"&gt;0"))</f>
      </c>
      <c r="F32" s="5">
        <f>IF($A32="","",ROUND(SUMIFS(Rounds!$F$2:$F$501,Rounds!$B$2:$B$501,$A32),2))</f>
      </c>
      <c r="G32" s="5">
        <f>IF($A32="","",COUNTIFS(Rounds!$B$2:$B$501,$A32,Rounds!$G$2:$G$501,1))</f>
      </c>
      <c r="H32" s="5">
        <f>IF($A32="","",COUNTIF($F$2:$F$101,"&gt;"&amp;$F32)+COUNTIF($F$2:$F32,$F32))</f>
      </c>
    </row>
    <row r="33">
      <c r="D33" s="5">
        <f>IF($A33="","",IF(OR($E33=0,AND(Settings!$B$4="Yes",$E33&lt;Settings!$B$2)),IF($B33="","Add a starting quota",ROUND($B33,Settings!$B$3)),ROUND(SUMIFS(Rounds!$C$2:$C$501,Rounds!$B$2:$B$501,$A33,Rounds!$D$2:$D$501,"&gt;"&amp;($E33-Settings!$B$2))/COUNTIFS(Rounds!$B$2:$B$501,$A33,Rounds!$D$2:$D$501,"&gt;"&amp;($E33-Settings!$B$2)),Settings!$B$3)))</f>
      </c>
      <c r="E33" s="5">
        <f>IF($A33="","",COUNTIFS(Rounds!$B$2:$B$501,$A33,Rounds!$D$2:$D$501,"&gt;0"))</f>
      </c>
      <c r="F33" s="5">
        <f>IF($A33="","",ROUND(SUMIFS(Rounds!$F$2:$F$501,Rounds!$B$2:$B$501,$A33),2))</f>
      </c>
      <c r="G33" s="5">
        <f>IF($A33="","",COUNTIFS(Rounds!$B$2:$B$501,$A33,Rounds!$G$2:$G$501,1))</f>
      </c>
      <c r="H33" s="5">
        <f>IF($A33="","",COUNTIF($F$2:$F$101,"&gt;"&amp;$F33)+COUNTIF($F$2:$F33,$F33))</f>
      </c>
    </row>
    <row r="34">
      <c r="D34" s="5">
        <f>IF($A34="","",IF(OR($E34=0,AND(Settings!$B$4="Yes",$E34&lt;Settings!$B$2)),IF($B34="","Add a starting quota",ROUND($B34,Settings!$B$3)),ROUND(SUMIFS(Rounds!$C$2:$C$501,Rounds!$B$2:$B$501,$A34,Rounds!$D$2:$D$501,"&gt;"&amp;($E34-Settings!$B$2))/COUNTIFS(Rounds!$B$2:$B$501,$A34,Rounds!$D$2:$D$501,"&gt;"&amp;($E34-Settings!$B$2)),Settings!$B$3)))</f>
      </c>
      <c r="E34" s="5">
        <f>IF($A34="","",COUNTIFS(Rounds!$B$2:$B$501,$A34,Rounds!$D$2:$D$501,"&gt;0"))</f>
      </c>
      <c r="F34" s="5">
        <f>IF($A34="","",ROUND(SUMIFS(Rounds!$F$2:$F$501,Rounds!$B$2:$B$501,$A34),2))</f>
      </c>
      <c r="G34" s="5">
        <f>IF($A34="","",COUNTIFS(Rounds!$B$2:$B$501,$A34,Rounds!$G$2:$G$501,1))</f>
      </c>
      <c r="H34" s="5">
        <f>IF($A34="","",COUNTIF($F$2:$F$101,"&gt;"&amp;$F34)+COUNTIF($F$2:$F34,$F34))</f>
      </c>
    </row>
    <row r="35">
      <c r="D35" s="5">
        <f>IF($A35="","",IF(OR($E35=0,AND(Settings!$B$4="Yes",$E35&lt;Settings!$B$2)),IF($B35="","Add a starting quota",ROUND($B35,Settings!$B$3)),ROUND(SUMIFS(Rounds!$C$2:$C$501,Rounds!$B$2:$B$501,$A35,Rounds!$D$2:$D$501,"&gt;"&amp;($E35-Settings!$B$2))/COUNTIFS(Rounds!$B$2:$B$501,$A35,Rounds!$D$2:$D$501,"&gt;"&amp;($E35-Settings!$B$2)),Settings!$B$3)))</f>
      </c>
      <c r="E35" s="5">
        <f>IF($A35="","",COUNTIFS(Rounds!$B$2:$B$501,$A35,Rounds!$D$2:$D$501,"&gt;0"))</f>
      </c>
      <c r="F35" s="5">
        <f>IF($A35="","",ROUND(SUMIFS(Rounds!$F$2:$F$501,Rounds!$B$2:$B$501,$A35),2))</f>
      </c>
      <c r="G35" s="5">
        <f>IF($A35="","",COUNTIFS(Rounds!$B$2:$B$501,$A35,Rounds!$G$2:$G$501,1))</f>
      </c>
      <c r="H35" s="5">
        <f>IF($A35="","",COUNTIF($F$2:$F$101,"&gt;"&amp;$F35)+COUNTIF($F$2:$F35,$F35))</f>
      </c>
    </row>
    <row r="36">
      <c r="D36" s="5">
        <f>IF($A36="","",IF(OR($E36=0,AND(Settings!$B$4="Yes",$E36&lt;Settings!$B$2)),IF($B36="","Add a starting quota",ROUND($B36,Settings!$B$3)),ROUND(SUMIFS(Rounds!$C$2:$C$501,Rounds!$B$2:$B$501,$A36,Rounds!$D$2:$D$501,"&gt;"&amp;($E36-Settings!$B$2))/COUNTIFS(Rounds!$B$2:$B$501,$A36,Rounds!$D$2:$D$501,"&gt;"&amp;($E36-Settings!$B$2)),Settings!$B$3)))</f>
      </c>
      <c r="E36" s="5">
        <f>IF($A36="","",COUNTIFS(Rounds!$B$2:$B$501,$A36,Rounds!$D$2:$D$501,"&gt;0"))</f>
      </c>
      <c r="F36" s="5">
        <f>IF($A36="","",ROUND(SUMIFS(Rounds!$F$2:$F$501,Rounds!$B$2:$B$501,$A36),2))</f>
      </c>
      <c r="G36" s="5">
        <f>IF($A36="","",COUNTIFS(Rounds!$B$2:$B$501,$A36,Rounds!$G$2:$G$501,1))</f>
      </c>
      <c r="H36" s="5">
        <f>IF($A36="","",COUNTIF($F$2:$F$101,"&gt;"&amp;$F36)+COUNTIF($F$2:$F36,$F36))</f>
      </c>
    </row>
    <row r="37">
      <c r="D37" s="5">
        <f>IF($A37="","",IF(OR($E37=0,AND(Settings!$B$4="Yes",$E37&lt;Settings!$B$2)),IF($B37="","Add a starting quota",ROUND($B37,Settings!$B$3)),ROUND(SUMIFS(Rounds!$C$2:$C$501,Rounds!$B$2:$B$501,$A37,Rounds!$D$2:$D$501,"&gt;"&amp;($E37-Settings!$B$2))/COUNTIFS(Rounds!$B$2:$B$501,$A37,Rounds!$D$2:$D$501,"&gt;"&amp;($E37-Settings!$B$2)),Settings!$B$3)))</f>
      </c>
      <c r="E37" s="5">
        <f>IF($A37="","",COUNTIFS(Rounds!$B$2:$B$501,$A37,Rounds!$D$2:$D$501,"&gt;0"))</f>
      </c>
      <c r="F37" s="5">
        <f>IF($A37="","",ROUND(SUMIFS(Rounds!$F$2:$F$501,Rounds!$B$2:$B$501,$A37),2))</f>
      </c>
      <c r="G37" s="5">
        <f>IF($A37="","",COUNTIFS(Rounds!$B$2:$B$501,$A37,Rounds!$G$2:$G$501,1))</f>
      </c>
      <c r="H37" s="5">
        <f>IF($A37="","",COUNTIF($F$2:$F$101,"&gt;"&amp;$F37)+COUNTIF($F$2:$F37,$F37))</f>
      </c>
    </row>
    <row r="38">
      <c r="D38" s="5">
        <f>IF($A38="","",IF(OR($E38=0,AND(Settings!$B$4="Yes",$E38&lt;Settings!$B$2)),IF($B38="","Add a starting quota",ROUND($B38,Settings!$B$3)),ROUND(SUMIFS(Rounds!$C$2:$C$501,Rounds!$B$2:$B$501,$A38,Rounds!$D$2:$D$501,"&gt;"&amp;($E38-Settings!$B$2))/COUNTIFS(Rounds!$B$2:$B$501,$A38,Rounds!$D$2:$D$501,"&gt;"&amp;($E38-Settings!$B$2)),Settings!$B$3)))</f>
      </c>
      <c r="E38" s="5">
        <f>IF($A38="","",COUNTIFS(Rounds!$B$2:$B$501,$A38,Rounds!$D$2:$D$501,"&gt;0"))</f>
      </c>
      <c r="F38" s="5">
        <f>IF($A38="","",ROUND(SUMIFS(Rounds!$F$2:$F$501,Rounds!$B$2:$B$501,$A38),2))</f>
      </c>
      <c r="G38" s="5">
        <f>IF($A38="","",COUNTIFS(Rounds!$B$2:$B$501,$A38,Rounds!$G$2:$G$501,1))</f>
      </c>
      <c r="H38" s="5">
        <f>IF($A38="","",COUNTIF($F$2:$F$101,"&gt;"&amp;$F38)+COUNTIF($F$2:$F38,$F38))</f>
      </c>
    </row>
    <row r="39">
      <c r="D39" s="5">
        <f>IF($A39="","",IF(OR($E39=0,AND(Settings!$B$4="Yes",$E39&lt;Settings!$B$2)),IF($B39="","Add a starting quota",ROUND($B39,Settings!$B$3)),ROUND(SUMIFS(Rounds!$C$2:$C$501,Rounds!$B$2:$B$501,$A39,Rounds!$D$2:$D$501,"&gt;"&amp;($E39-Settings!$B$2))/COUNTIFS(Rounds!$B$2:$B$501,$A39,Rounds!$D$2:$D$501,"&gt;"&amp;($E39-Settings!$B$2)),Settings!$B$3)))</f>
      </c>
      <c r="E39" s="5">
        <f>IF($A39="","",COUNTIFS(Rounds!$B$2:$B$501,$A39,Rounds!$D$2:$D$501,"&gt;0"))</f>
      </c>
      <c r="F39" s="5">
        <f>IF($A39="","",ROUND(SUMIFS(Rounds!$F$2:$F$501,Rounds!$B$2:$B$501,$A39),2))</f>
      </c>
      <c r="G39" s="5">
        <f>IF($A39="","",COUNTIFS(Rounds!$B$2:$B$501,$A39,Rounds!$G$2:$G$501,1))</f>
      </c>
      <c r="H39" s="5">
        <f>IF($A39="","",COUNTIF($F$2:$F$101,"&gt;"&amp;$F39)+COUNTIF($F$2:$F39,$F39))</f>
      </c>
    </row>
    <row r="40">
      <c r="D40" s="5">
        <f>IF($A40="","",IF(OR($E40=0,AND(Settings!$B$4="Yes",$E40&lt;Settings!$B$2)),IF($B40="","Add a starting quota",ROUND($B40,Settings!$B$3)),ROUND(SUMIFS(Rounds!$C$2:$C$501,Rounds!$B$2:$B$501,$A40,Rounds!$D$2:$D$501,"&gt;"&amp;($E40-Settings!$B$2))/COUNTIFS(Rounds!$B$2:$B$501,$A40,Rounds!$D$2:$D$501,"&gt;"&amp;($E40-Settings!$B$2)),Settings!$B$3)))</f>
      </c>
      <c r="E40" s="5">
        <f>IF($A40="","",COUNTIFS(Rounds!$B$2:$B$501,$A40,Rounds!$D$2:$D$501,"&gt;0"))</f>
      </c>
      <c r="F40" s="5">
        <f>IF($A40="","",ROUND(SUMIFS(Rounds!$F$2:$F$501,Rounds!$B$2:$B$501,$A40),2))</f>
      </c>
      <c r="G40" s="5">
        <f>IF($A40="","",COUNTIFS(Rounds!$B$2:$B$501,$A40,Rounds!$G$2:$G$501,1))</f>
      </c>
      <c r="H40" s="5">
        <f>IF($A40="","",COUNTIF($F$2:$F$101,"&gt;"&amp;$F40)+COUNTIF($F$2:$F40,$F40))</f>
      </c>
    </row>
    <row r="41">
      <c r="D41" s="5">
        <f>IF($A41="","",IF(OR($E41=0,AND(Settings!$B$4="Yes",$E41&lt;Settings!$B$2)),IF($B41="","Add a starting quota",ROUND($B41,Settings!$B$3)),ROUND(SUMIFS(Rounds!$C$2:$C$501,Rounds!$B$2:$B$501,$A41,Rounds!$D$2:$D$501,"&gt;"&amp;($E41-Settings!$B$2))/COUNTIFS(Rounds!$B$2:$B$501,$A41,Rounds!$D$2:$D$501,"&gt;"&amp;($E41-Settings!$B$2)),Settings!$B$3)))</f>
      </c>
      <c r="E41" s="5">
        <f>IF($A41="","",COUNTIFS(Rounds!$B$2:$B$501,$A41,Rounds!$D$2:$D$501,"&gt;0"))</f>
      </c>
      <c r="F41" s="5">
        <f>IF($A41="","",ROUND(SUMIFS(Rounds!$F$2:$F$501,Rounds!$B$2:$B$501,$A41),2))</f>
      </c>
      <c r="G41" s="5">
        <f>IF($A41="","",COUNTIFS(Rounds!$B$2:$B$501,$A41,Rounds!$G$2:$G$501,1))</f>
      </c>
      <c r="H41" s="5">
        <f>IF($A41="","",COUNTIF($F$2:$F$101,"&gt;"&amp;$F41)+COUNTIF($F$2:$F41,$F41))</f>
      </c>
    </row>
    <row r="42">
      <c r="D42" s="5">
        <f>IF($A42="","",IF(OR($E42=0,AND(Settings!$B$4="Yes",$E42&lt;Settings!$B$2)),IF($B42="","Add a starting quota",ROUND($B42,Settings!$B$3)),ROUND(SUMIFS(Rounds!$C$2:$C$501,Rounds!$B$2:$B$501,$A42,Rounds!$D$2:$D$501,"&gt;"&amp;($E42-Settings!$B$2))/COUNTIFS(Rounds!$B$2:$B$501,$A42,Rounds!$D$2:$D$501,"&gt;"&amp;($E42-Settings!$B$2)),Settings!$B$3)))</f>
      </c>
      <c r="E42" s="5">
        <f>IF($A42="","",COUNTIFS(Rounds!$B$2:$B$501,$A42,Rounds!$D$2:$D$501,"&gt;0"))</f>
      </c>
      <c r="F42" s="5">
        <f>IF($A42="","",ROUND(SUMIFS(Rounds!$F$2:$F$501,Rounds!$B$2:$B$501,$A42),2))</f>
      </c>
      <c r="G42" s="5">
        <f>IF($A42="","",COUNTIFS(Rounds!$B$2:$B$501,$A42,Rounds!$G$2:$G$501,1))</f>
      </c>
      <c r="H42" s="5">
        <f>IF($A42="","",COUNTIF($F$2:$F$101,"&gt;"&amp;$F42)+COUNTIF($F$2:$F42,$F42))</f>
      </c>
    </row>
    <row r="43">
      <c r="D43" s="5">
        <f>IF($A43="","",IF(OR($E43=0,AND(Settings!$B$4="Yes",$E43&lt;Settings!$B$2)),IF($B43="","Add a starting quota",ROUND($B43,Settings!$B$3)),ROUND(SUMIFS(Rounds!$C$2:$C$501,Rounds!$B$2:$B$501,$A43,Rounds!$D$2:$D$501,"&gt;"&amp;($E43-Settings!$B$2))/COUNTIFS(Rounds!$B$2:$B$501,$A43,Rounds!$D$2:$D$501,"&gt;"&amp;($E43-Settings!$B$2)),Settings!$B$3)))</f>
      </c>
      <c r="E43" s="5">
        <f>IF($A43="","",COUNTIFS(Rounds!$B$2:$B$501,$A43,Rounds!$D$2:$D$501,"&gt;0"))</f>
      </c>
      <c r="F43" s="5">
        <f>IF($A43="","",ROUND(SUMIFS(Rounds!$F$2:$F$501,Rounds!$B$2:$B$501,$A43),2))</f>
      </c>
      <c r="G43" s="5">
        <f>IF($A43="","",COUNTIFS(Rounds!$B$2:$B$501,$A43,Rounds!$G$2:$G$501,1))</f>
      </c>
      <c r="H43" s="5">
        <f>IF($A43="","",COUNTIF($F$2:$F$101,"&gt;"&amp;$F43)+COUNTIF($F$2:$F43,$F43))</f>
      </c>
    </row>
    <row r="44">
      <c r="D44" s="5">
        <f>IF($A44="","",IF(OR($E44=0,AND(Settings!$B$4="Yes",$E44&lt;Settings!$B$2)),IF($B44="","Add a starting quota",ROUND($B44,Settings!$B$3)),ROUND(SUMIFS(Rounds!$C$2:$C$501,Rounds!$B$2:$B$501,$A44,Rounds!$D$2:$D$501,"&gt;"&amp;($E44-Settings!$B$2))/COUNTIFS(Rounds!$B$2:$B$501,$A44,Rounds!$D$2:$D$501,"&gt;"&amp;($E44-Settings!$B$2)),Settings!$B$3)))</f>
      </c>
      <c r="E44" s="5">
        <f>IF($A44="","",COUNTIFS(Rounds!$B$2:$B$501,$A44,Rounds!$D$2:$D$501,"&gt;0"))</f>
      </c>
      <c r="F44" s="5">
        <f>IF($A44="","",ROUND(SUMIFS(Rounds!$F$2:$F$501,Rounds!$B$2:$B$501,$A44),2))</f>
      </c>
      <c r="G44" s="5">
        <f>IF($A44="","",COUNTIFS(Rounds!$B$2:$B$501,$A44,Rounds!$G$2:$G$501,1))</f>
      </c>
      <c r="H44" s="5">
        <f>IF($A44="","",COUNTIF($F$2:$F$101,"&gt;"&amp;$F44)+COUNTIF($F$2:$F44,$F44))</f>
      </c>
    </row>
    <row r="45">
      <c r="D45" s="5">
        <f>IF($A45="","",IF(OR($E45=0,AND(Settings!$B$4="Yes",$E45&lt;Settings!$B$2)),IF($B45="","Add a starting quota",ROUND($B45,Settings!$B$3)),ROUND(SUMIFS(Rounds!$C$2:$C$501,Rounds!$B$2:$B$501,$A45,Rounds!$D$2:$D$501,"&gt;"&amp;($E45-Settings!$B$2))/COUNTIFS(Rounds!$B$2:$B$501,$A45,Rounds!$D$2:$D$501,"&gt;"&amp;($E45-Settings!$B$2)),Settings!$B$3)))</f>
      </c>
      <c r="E45" s="5">
        <f>IF($A45="","",COUNTIFS(Rounds!$B$2:$B$501,$A45,Rounds!$D$2:$D$501,"&gt;0"))</f>
      </c>
      <c r="F45" s="5">
        <f>IF($A45="","",ROUND(SUMIFS(Rounds!$F$2:$F$501,Rounds!$B$2:$B$501,$A45),2))</f>
      </c>
      <c r="G45" s="5">
        <f>IF($A45="","",COUNTIFS(Rounds!$B$2:$B$501,$A45,Rounds!$G$2:$G$501,1))</f>
      </c>
      <c r="H45" s="5">
        <f>IF($A45="","",COUNTIF($F$2:$F$101,"&gt;"&amp;$F45)+COUNTIF($F$2:$F45,$F45))</f>
      </c>
    </row>
    <row r="46">
      <c r="D46" s="5">
        <f>IF($A46="","",IF(OR($E46=0,AND(Settings!$B$4="Yes",$E46&lt;Settings!$B$2)),IF($B46="","Add a starting quota",ROUND($B46,Settings!$B$3)),ROUND(SUMIFS(Rounds!$C$2:$C$501,Rounds!$B$2:$B$501,$A46,Rounds!$D$2:$D$501,"&gt;"&amp;($E46-Settings!$B$2))/COUNTIFS(Rounds!$B$2:$B$501,$A46,Rounds!$D$2:$D$501,"&gt;"&amp;($E46-Settings!$B$2)),Settings!$B$3)))</f>
      </c>
      <c r="E46" s="5">
        <f>IF($A46="","",COUNTIFS(Rounds!$B$2:$B$501,$A46,Rounds!$D$2:$D$501,"&gt;0"))</f>
      </c>
      <c r="F46" s="5">
        <f>IF($A46="","",ROUND(SUMIFS(Rounds!$F$2:$F$501,Rounds!$B$2:$B$501,$A46),2))</f>
      </c>
      <c r="G46" s="5">
        <f>IF($A46="","",COUNTIFS(Rounds!$B$2:$B$501,$A46,Rounds!$G$2:$G$501,1))</f>
      </c>
      <c r="H46" s="5">
        <f>IF($A46="","",COUNTIF($F$2:$F$101,"&gt;"&amp;$F46)+COUNTIF($F$2:$F46,$F46))</f>
      </c>
    </row>
    <row r="47">
      <c r="D47" s="5">
        <f>IF($A47="","",IF(OR($E47=0,AND(Settings!$B$4="Yes",$E47&lt;Settings!$B$2)),IF($B47="","Add a starting quota",ROUND($B47,Settings!$B$3)),ROUND(SUMIFS(Rounds!$C$2:$C$501,Rounds!$B$2:$B$501,$A47,Rounds!$D$2:$D$501,"&gt;"&amp;($E47-Settings!$B$2))/COUNTIFS(Rounds!$B$2:$B$501,$A47,Rounds!$D$2:$D$501,"&gt;"&amp;($E47-Settings!$B$2)),Settings!$B$3)))</f>
      </c>
      <c r="E47" s="5">
        <f>IF($A47="","",COUNTIFS(Rounds!$B$2:$B$501,$A47,Rounds!$D$2:$D$501,"&gt;0"))</f>
      </c>
      <c r="F47" s="5">
        <f>IF($A47="","",ROUND(SUMIFS(Rounds!$F$2:$F$501,Rounds!$B$2:$B$501,$A47),2))</f>
      </c>
      <c r="G47" s="5">
        <f>IF($A47="","",COUNTIFS(Rounds!$B$2:$B$501,$A47,Rounds!$G$2:$G$501,1))</f>
      </c>
      <c r="H47" s="5">
        <f>IF($A47="","",COUNTIF($F$2:$F$101,"&gt;"&amp;$F47)+COUNTIF($F$2:$F47,$F47))</f>
      </c>
    </row>
    <row r="48">
      <c r="D48" s="5">
        <f>IF($A48="","",IF(OR($E48=0,AND(Settings!$B$4="Yes",$E48&lt;Settings!$B$2)),IF($B48="","Add a starting quota",ROUND($B48,Settings!$B$3)),ROUND(SUMIFS(Rounds!$C$2:$C$501,Rounds!$B$2:$B$501,$A48,Rounds!$D$2:$D$501,"&gt;"&amp;($E48-Settings!$B$2))/COUNTIFS(Rounds!$B$2:$B$501,$A48,Rounds!$D$2:$D$501,"&gt;"&amp;($E48-Settings!$B$2)),Settings!$B$3)))</f>
      </c>
      <c r="E48" s="5">
        <f>IF($A48="","",COUNTIFS(Rounds!$B$2:$B$501,$A48,Rounds!$D$2:$D$501,"&gt;0"))</f>
      </c>
      <c r="F48" s="5">
        <f>IF($A48="","",ROUND(SUMIFS(Rounds!$F$2:$F$501,Rounds!$B$2:$B$501,$A48),2))</f>
      </c>
      <c r="G48" s="5">
        <f>IF($A48="","",COUNTIFS(Rounds!$B$2:$B$501,$A48,Rounds!$G$2:$G$501,1))</f>
      </c>
      <c r="H48" s="5">
        <f>IF($A48="","",COUNTIF($F$2:$F$101,"&gt;"&amp;$F48)+COUNTIF($F$2:$F48,$F48))</f>
      </c>
    </row>
    <row r="49">
      <c r="D49" s="5">
        <f>IF($A49="","",IF(OR($E49=0,AND(Settings!$B$4="Yes",$E49&lt;Settings!$B$2)),IF($B49="","Add a starting quota",ROUND($B49,Settings!$B$3)),ROUND(SUMIFS(Rounds!$C$2:$C$501,Rounds!$B$2:$B$501,$A49,Rounds!$D$2:$D$501,"&gt;"&amp;($E49-Settings!$B$2))/COUNTIFS(Rounds!$B$2:$B$501,$A49,Rounds!$D$2:$D$501,"&gt;"&amp;($E49-Settings!$B$2)),Settings!$B$3)))</f>
      </c>
      <c r="E49" s="5">
        <f>IF($A49="","",COUNTIFS(Rounds!$B$2:$B$501,$A49,Rounds!$D$2:$D$501,"&gt;0"))</f>
      </c>
      <c r="F49" s="5">
        <f>IF($A49="","",ROUND(SUMIFS(Rounds!$F$2:$F$501,Rounds!$B$2:$B$501,$A49),2))</f>
      </c>
      <c r="G49" s="5">
        <f>IF($A49="","",COUNTIFS(Rounds!$B$2:$B$501,$A49,Rounds!$G$2:$G$501,1))</f>
      </c>
      <c r="H49" s="5">
        <f>IF($A49="","",COUNTIF($F$2:$F$101,"&gt;"&amp;$F49)+COUNTIF($F$2:$F49,$F49))</f>
      </c>
    </row>
    <row r="50">
      <c r="D50" s="5">
        <f>IF($A50="","",IF(OR($E50=0,AND(Settings!$B$4="Yes",$E50&lt;Settings!$B$2)),IF($B50="","Add a starting quota",ROUND($B50,Settings!$B$3)),ROUND(SUMIFS(Rounds!$C$2:$C$501,Rounds!$B$2:$B$501,$A50,Rounds!$D$2:$D$501,"&gt;"&amp;($E50-Settings!$B$2))/COUNTIFS(Rounds!$B$2:$B$501,$A50,Rounds!$D$2:$D$501,"&gt;"&amp;($E50-Settings!$B$2)),Settings!$B$3)))</f>
      </c>
      <c r="E50" s="5">
        <f>IF($A50="","",COUNTIFS(Rounds!$B$2:$B$501,$A50,Rounds!$D$2:$D$501,"&gt;0"))</f>
      </c>
      <c r="F50" s="5">
        <f>IF($A50="","",ROUND(SUMIFS(Rounds!$F$2:$F$501,Rounds!$B$2:$B$501,$A50),2))</f>
      </c>
      <c r="G50" s="5">
        <f>IF($A50="","",COUNTIFS(Rounds!$B$2:$B$501,$A50,Rounds!$G$2:$G$501,1))</f>
      </c>
      <c r="H50" s="5">
        <f>IF($A50="","",COUNTIF($F$2:$F$101,"&gt;"&amp;$F50)+COUNTIF($F$2:$F50,$F50))</f>
      </c>
    </row>
    <row r="51">
      <c r="D51" s="5">
        <f>IF($A51="","",IF(OR($E51=0,AND(Settings!$B$4="Yes",$E51&lt;Settings!$B$2)),IF($B51="","Add a starting quota",ROUND($B51,Settings!$B$3)),ROUND(SUMIFS(Rounds!$C$2:$C$501,Rounds!$B$2:$B$501,$A51,Rounds!$D$2:$D$501,"&gt;"&amp;($E51-Settings!$B$2))/COUNTIFS(Rounds!$B$2:$B$501,$A51,Rounds!$D$2:$D$501,"&gt;"&amp;($E51-Settings!$B$2)),Settings!$B$3)))</f>
      </c>
      <c r="E51" s="5">
        <f>IF($A51="","",COUNTIFS(Rounds!$B$2:$B$501,$A51,Rounds!$D$2:$D$501,"&gt;0"))</f>
      </c>
      <c r="F51" s="5">
        <f>IF($A51="","",ROUND(SUMIFS(Rounds!$F$2:$F$501,Rounds!$B$2:$B$501,$A51),2))</f>
      </c>
      <c r="G51" s="5">
        <f>IF($A51="","",COUNTIFS(Rounds!$B$2:$B$501,$A51,Rounds!$G$2:$G$501,1))</f>
      </c>
      <c r="H51" s="5">
        <f>IF($A51="","",COUNTIF($F$2:$F$101,"&gt;"&amp;$F51)+COUNTIF($F$2:$F51,$F51))</f>
      </c>
    </row>
    <row r="52">
      <c r="D52" s="5">
        <f>IF($A52="","",IF(OR($E52=0,AND(Settings!$B$4="Yes",$E52&lt;Settings!$B$2)),IF($B52="","Add a starting quota",ROUND($B52,Settings!$B$3)),ROUND(SUMIFS(Rounds!$C$2:$C$501,Rounds!$B$2:$B$501,$A52,Rounds!$D$2:$D$501,"&gt;"&amp;($E52-Settings!$B$2))/COUNTIFS(Rounds!$B$2:$B$501,$A52,Rounds!$D$2:$D$501,"&gt;"&amp;($E52-Settings!$B$2)),Settings!$B$3)))</f>
      </c>
      <c r="E52" s="5">
        <f>IF($A52="","",COUNTIFS(Rounds!$B$2:$B$501,$A52,Rounds!$D$2:$D$501,"&gt;0"))</f>
      </c>
      <c r="F52" s="5">
        <f>IF($A52="","",ROUND(SUMIFS(Rounds!$F$2:$F$501,Rounds!$B$2:$B$501,$A52),2))</f>
      </c>
      <c r="G52" s="5">
        <f>IF($A52="","",COUNTIFS(Rounds!$B$2:$B$501,$A52,Rounds!$G$2:$G$501,1))</f>
      </c>
      <c r="H52" s="5">
        <f>IF($A52="","",COUNTIF($F$2:$F$101,"&gt;"&amp;$F52)+COUNTIF($F$2:$F52,$F52))</f>
      </c>
    </row>
    <row r="53">
      <c r="D53" s="5">
        <f>IF($A53="","",IF(OR($E53=0,AND(Settings!$B$4="Yes",$E53&lt;Settings!$B$2)),IF($B53="","Add a starting quota",ROUND($B53,Settings!$B$3)),ROUND(SUMIFS(Rounds!$C$2:$C$501,Rounds!$B$2:$B$501,$A53,Rounds!$D$2:$D$501,"&gt;"&amp;($E53-Settings!$B$2))/COUNTIFS(Rounds!$B$2:$B$501,$A53,Rounds!$D$2:$D$501,"&gt;"&amp;($E53-Settings!$B$2)),Settings!$B$3)))</f>
      </c>
      <c r="E53" s="5">
        <f>IF($A53="","",COUNTIFS(Rounds!$B$2:$B$501,$A53,Rounds!$D$2:$D$501,"&gt;0"))</f>
      </c>
      <c r="F53" s="5">
        <f>IF($A53="","",ROUND(SUMIFS(Rounds!$F$2:$F$501,Rounds!$B$2:$B$501,$A53),2))</f>
      </c>
      <c r="G53" s="5">
        <f>IF($A53="","",COUNTIFS(Rounds!$B$2:$B$501,$A53,Rounds!$G$2:$G$501,1))</f>
      </c>
      <c r="H53" s="5">
        <f>IF($A53="","",COUNTIF($F$2:$F$101,"&gt;"&amp;$F53)+COUNTIF($F$2:$F53,$F53))</f>
      </c>
    </row>
    <row r="54">
      <c r="D54" s="5">
        <f>IF($A54="","",IF(OR($E54=0,AND(Settings!$B$4="Yes",$E54&lt;Settings!$B$2)),IF($B54="","Add a starting quota",ROUND($B54,Settings!$B$3)),ROUND(SUMIFS(Rounds!$C$2:$C$501,Rounds!$B$2:$B$501,$A54,Rounds!$D$2:$D$501,"&gt;"&amp;($E54-Settings!$B$2))/COUNTIFS(Rounds!$B$2:$B$501,$A54,Rounds!$D$2:$D$501,"&gt;"&amp;($E54-Settings!$B$2)),Settings!$B$3)))</f>
      </c>
      <c r="E54" s="5">
        <f>IF($A54="","",COUNTIFS(Rounds!$B$2:$B$501,$A54,Rounds!$D$2:$D$501,"&gt;0"))</f>
      </c>
      <c r="F54" s="5">
        <f>IF($A54="","",ROUND(SUMIFS(Rounds!$F$2:$F$501,Rounds!$B$2:$B$501,$A54),2))</f>
      </c>
      <c r="G54" s="5">
        <f>IF($A54="","",COUNTIFS(Rounds!$B$2:$B$501,$A54,Rounds!$G$2:$G$501,1))</f>
      </c>
      <c r="H54" s="5">
        <f>IF($A54="","",COUNTIF($F$2:$F$101,"&gt;"&amp;$F54)+COUNTIF($F$2:$F54,$F54))</f>
      </c>
    </row>
    <row r="55">
      <c r="D55" s="5">
        <f>IF($A55="","",IF(OR($E55=0,AND(Settings!$B$4="Yes",$E55&lt;Settings!$B$2)),IF($B55="","Add a starting quota",ROUND($B55,Settings!$B$3)),ROUND(SUMIFS(Rounds!$C$2:$C$501,Rounds!$B$2:$B$501,$A55,Rounds!$D$2:$D$501,"&gt;"&amp;($E55-Settings!$B$2))/COUNTIFS(Rounds!$B$2:$B$501,$A55,Rounds!$D$2:$D$501,"&gt;"&amp;($E55-Settings!$B$2)),Settings!$B$3)))</f>
      </c>
      <c r="E55" s="5">
        <f>IF($A55="","",COUNTIFS(Rounds!$B$2:$B$501,$A55,Rounds!$D$2:$D$501,"&gt;0"))</f>
      </c>
      <c r="F55" s="5">
        <f>IF($A55="","",ROUND(SUMIFS(Rounds!$F$2:$F$501,Rounds!$B$2:$B$501,$A55),2))</f>
      </c>
      <c r="G55" s="5">
        <f>IF($A55="","",COUNTIFS(Rounds!$B$2:$B$501,$A55,Rounds!$G$2:$G$501,1))</f>
      </c>
      <c r="H55" s="5">
        <f>IF($A55="","",COUNTIF($F$2:$F$101,"&gt;"&amp;$F55)+COUNTIF($F$2:$F55,$F55))</f>
      </c>
    </row>
    <row r="56">
      <c r="D56" s="5">
        <f>IF($A56="","",IF(OR($E56=0,AND(Settings!$B$4="Yes",$E56&lt;Settings!$B$2)),IF($B56="","Add a starting quota",ROUND($B56,Settings!$B$3)),ROUND(SUMIFS(Rounds!$C$2:$C$501,Rounds!$B$2:$B$501,$A56,Rounds!$D$2:$D$501,"&gt;"&amp;($E56-Settings!$B$2))/COUNTIFS(Rounds!$B$2:$B$501,$A56,Rounds!$D$2:$D$501,"&gt;"&amp;($E56-Settings!$B$2)),Settings!$B$3)))</f>
      </c>
      <c r="E56" s="5">
        <f>IF($A56="","",COUNTIFS(Rounds!$B$2:$B$501,$A56,Rounds!$D$2:$D$501,"&gt;0"))</f>
      </c>
      <c r="F56" s="5">
        <f>IF($A56="","",ROUND(SUMIFS(Rounds!$F$2:$F$501,Rounds!$B$2:$B$501,$A56),2))</f>
      </c>
      <c r="G56" s="5">
        <f>IF($A56="","",COUNTIFS(Rounds!$B$2:$B$501,$A56,Rounds!$G$2:$G$501,1))</f>
      </c>
      <c r="H56" s="5">
        <f>IF($A56="","",COUNTIF($F$2:$F$101,"&gt;"&amp;$F56)+COUNTIF($F$2:$F56,$F56))</f>
      </c>
    </row>
    <row r="57">
      <c r="D57" s="5">
        <f>IF($A57="","",IF(OR($E57=0,AND(Settings!$B$4="Yes",$E57&lt;Settings!$B$2)),IF($B57="","Add a starting quota",ROUND($B57,Settings!$B$3)),ROUND(SUMIFS(Rounds!$C$2:$C$501,Rounds!$B$2:$B$501,$A57,Rounds!$D$2:$D$501,"&gt;"&amp;($E57-Settings!$B$2))/COUNTIFS(Rounds!$B$2:$B$501,$A57,Rounds!$D$2:$D$501,"&gt;"&amp;($E57-Settings!$B$2)),Settings!$B$3)))</f>
      </c>
      <c r="E57" s="5">
        <f>IF($A57="","",COUNTIFS(Rounds!$B$2:$B$501,$A57,Rounds!$D$2:$D$501,"&gt;0"))</f>
      </c>
      <c r="F57" s="5">
        <f>IF($A57="","",ROUND(SUMIFS(Rounds!$F$2:$F$501,Rounds!$B$2:$B$501,$A57),2))</f>
      </c>
      <c r="G57" s="5">
        <f>IF($A57="","",COUNTIFS(Rounds!$B$2:$B$501,$A57,Rounds!$G$2:$G$501,1))</f>
      </c>
      <c r="H57" s="5">
        <f>IF($A57="","",COUNTIF($F$2:$F$101,"&gt;"&amp;$F57)+COUNTIF($F$2:$F57,$F57))</f>
      </c>
    </row>
    <row r="58">
      <c r="D58" s="5">
        <f>IF($A58="","",IF(OR($E58=0,AND(Settings!$B$4="Yes",$E58&lt;Settings!$B$2)),IF($B58="","Add a starting quota",ROUND($B58,Settings!$B$3)),ROUND(SUMIFS(Rounds!$C$2:$C$501,Rounds!$B$2:$B$501,$A58,Rounds!$D$2:$D$501,"&gt;"&amp;($E58-Settings!$B$2))/COUNTIFS(Rounds!$B$2:$B$501,$A58,Rounds!$D$2:$D$501,"&gt;"&amp;($E58-Settings!$B$2)),Settings!$B$3)))</f>
      </c>
      <c r="E58" s="5">
        <f>IF($A58="","",COUNTIFS(Rounds!$B$2:$B$501,$A58,Rounds!$D$2:$D$501,"&gt;0"))</f>
      </c>
      <c r="F58" s="5">
        <f>IF($A58="","",ROUND(SUMIFS(Rounds!$F$2:$F$501,Rounds!$B$2:$B$501,$A58),2))</f>
      </c>
      <c r="G58" s="5">
        <f>IF($A58="","",COUNTIFS(Rounds!$B$2:$B$501,$A58,Rounds!$G$2:$G$501,1))</f>
      </c>
      <c r="H58" s="5">
        <f>IF($A58="","",COUNTIF($F$2:$F$101,"&gt;"&amp;$F58)+COUNTIF($F$2:$F58,$F58))</f>
      </c>
    </row>
    <row r="59">
      <c r="D59" s="5">
        <f>IF($A59="","",IF(OR($E59=0,AND(Settings!$B$4="Yes",$E59&lt;Settings!$B$2)),IF($B59="","Add a starting quota",ROUND($B59,Settings!$B$3)),ROUND(SUMIFS(Rounds!$C$2:$C$501,Rounds!$B$2:$B$501,$A59,Rounds!$D$2:$D$501,"&gt;"&amp;($E59-Settings!$B$2))/COUNTIFS(Rounds!$B$2:$B$501,$A59,Rounds!$D$2:$D$501,"&gt;"&amp;($E59-Settings!$B$2)),Settings!$B$3)))</f>
      </c>
      <c r="E59" s="5">
        <f>IF($A59="","",COUNTIFS(Rounds!$B$2:$B$501,$A59,Rounds!$D$2:$D$501,"&gt;0"))</f>
      </c>
      <c r="F59" s="5">
        <f>IF($A59="","",ROUND(SUMIFS(Rounds!$F$2:$F$501,Rounds!$B$2:$B$501,$A59),2))</f>
      </c>
      <c r="G59" s="5">
        <f>IF($A59="","",COUNTIFS(Rounds!$B$2:$B$501,$A59,Rounds!$G$2:$G$501,1))</f>
      </c>
      <c r="H59" s="5">
        <f>IF($A59="","",COUNTIF($F$2:$F$101,"&gt;"&amp;$F59)+COUNTIF($F$2:$F59,$F59))</f>
      </c>
    </row>
    <row r="60">
      <c r="D60" s="5">
        <f>IF($A60="","",IF(OR($E60=0,AND(Settings!$B$4="Yes",$E60&lt;Settings!$B$2)),IF($B60="","Add a starting quota",ROUND($B60,Settings!$B$3)),ROUND(SUMIFS(Rounds!$C$2:$C$501,Rounds!$B$2:$B$501,$A60,Rounds!$D$2:$D$501,"&gt;"&amp;($E60-Settings!$B$2))/COUNTIFS(Rounds!$B$2:$B$501,$A60,Rounds!$D$2:$D$501,"&gt;"&amp;($E60-Settings!$B$2)),Settings!$B$3)))</f>
      </c>
      <c r="E60" s="5">
        <f>IF($A60="","",COUNTIFS(Rounds!$B$2:$B$501,$A60,Rounds!$D$2:$D$501,"&gt;0"))</f>
      </c>
      <c r="F60" s="5">
        <f>IF($A60="","",ROUND(SUMIFS(Rounds!$F$2:$F$501,Rounds!$B$2:$B$501,$A60),2))</f>
      </c>
      <c r="G60" s="5">
        <f>IF($A60="","",COUNTIFS(Rounds!$B$2:$B$501,$A60,Rounds!$G$2:$G$501,1))</f>
      </c>
      <c r="H60" s="5">
        <f>IF($A60="","",COUNTIF($F$2:$F$101,"&gt;"&amp;$F60)+COUNTIF($F$2:$F60,$F60))</f>
      </c>
    </row>
    <row r="61">
      <c r="D61" s="5">
        <f>IF($A61="","",IF(OR($E61=0,AND(Settings!$B$4="Yes",$E61&lt;Settings!$B$2)),IF($B61="","Add a starting quota",ROUND($B61,Settings!$B$3)),ROUND(SUMIFS(Rounds!$C$2:$C$501,Rounds!$B$2:$B$501,$A61,Rounds!$D$2:$D$501,"&gt;"&amp;($E61-Settings!$B$2))/COUNTIFS(Rounds!$B$2:$B$501,$A61,Rounds!$D$2:$D$501,"&gt;"&amp;($E61-Settings!$B$2)),Settings!$B$3)))</f>
      </c>
      <c r="E61" s="5">
        <f>IF($A61="","",COUNTIFS(Rounds!$B$2:$B$501,$A61,Rounds!$D$2:$D$501,"&gt;0"))</f>
      </c>
      <c r="F61" s="5">
        <f>IF($A61="","",ROUND(SUMIFS(Rounds!$F$2:$F$501,Rounds!$B$2:$B$501,$A61),2))</f>
      </c>
      <c r="G61" s="5">
        <f>IF($A61="","",COUNTIFS(Rounds!$B$2:$B$501,$A61,Rounds!$G$2:$G$501,1))</f>
      </c>
      <c r="H61" s="5">
        <f>IF($A61="","",COUNTIF($F$2:$F$101,"&gt;"&amp;$F61)+COUNTIF($F$2:$F61,$F61))</f>
      </c>
    </row>
    <row r="62">
      <c r="D62" s="5">
        <f>IF($A62="","",IF(OR($E62=0,AND(Settings!$B$4="Yes",$E62&lt;Settings!$B$2)),IF($B62="","Add a starting quota",ROUND($B62,Settings!$B$3)),ROUND(SUMIFS(Rounds!$C$2:$C$501,Rounds!$B$2:$B$501,$A62,Rounds!$D$2:$D$501,"&gt;"&amp;($E62-Settings!$B$2))/COUNTIFS(Rounds!$B$2:$B$501,$A62,Rounds!$D$2:$D$501,"&gt;"&amp;($E62-Settings!$B$2)),Settings!$B$3)))</f>
      </c>
      <c r="E62" s="5">
        <f>IF($A62="","",COUNTIFS(Rounds!$B$2:$B$501,$A62,Rounds!$D$2:$D$501,"&gt;0"))</f>
      </c>
      <c r="F62" s="5">
        <f>IF($A62="","",ROUND(SUMIFS(Rounds!$F$2:$F$501,Rounds!$B$2:$B$501,$A62),2))</f>
      </c>
      <c r="G62" s="5">
        <f>IF($A62="","",COUNTIFS(Rounds!$B$2:$B$501,$A62,Rounds!$G$2:$G$501,1))</f>
      </c>
      <c r="H62" s="5">
        <f>IF($A62="","",COUNTIF($F$2:$F$101,"&gt;"&amp;$F62)+COUNTIF($F$2:$F62,$F62))</f>
      </c>
    </row>
    <row r="63">
      <c r="D63" s="5">
        <f>IF($A63="","",IF(OR($E63=0,AND(Settings!$B$4="Yes",$E63&lt;Settings!$B$2)),IF($B63="","Add a starting quota",ROUND($B63,Settings!$B$3)),ROUND(SUMIFS(Rounds!$C$2:$C$501,Rounds!$B$2:$B$501,$A63,Rounds!$D$2:$D$501,"&gt;"&amp;($E63-Settings!$B$2))/COUNTIFS(Rounds!$B$2:$B$501,$A63,Rounds!$D$2:$D$501,"&gt;"&amp;($E63-Settings!$B$2)),Settings!$B$3)))</f>
      </c>
      <c r="E63" s="5">
        <f>IF($A63="","",COUNTIFS(Rounds!$B$2:$B$501,$A63,Rounds!$D$2:$D$501,"&gt;0"))</f>
      </c>
      <c r="F63" s="5">
        <f>IF($A63="","",ROUND(SUMIFS(Rounds!$F$2:$F$501,Rounds!$B$2:$B$501,$A63),2))</f>
      </c>
      <c r="G63" s="5">
        <f>IF($A63="","",COUNTIFS(Rounds!$B$2:$B$501,$A63,Rounds!$G$2:$G$501,1))</f>
      </c>
      <c r="H63" s="5">
        <f>IF($A63="","",COUNTIF($F$2:$F$101,"&gt;"&amp;$F63)+COUNTIF($F$2:$F63,$F63))</f>
      </c>
    </row>
    <row r="64">
      <c r="D64" s="5">
        <f>IF($A64="","",IF(OR($E64=0,AND(Settings!$B$4="Yes",$E64&lt;Settings!$B$2)),IF($B64="","Add a starting quota",ROUND($B64,Settings!$B$3)),ROUND(SUMIFS(Rounds!$C$2:$C$501,Rounds!$B$2:$B$501,$A64,Rounds!$D$2:$D$501,"&gt;"&amp;($E64-Settings!$B$2))/COUNTIFS(Rounds!$B$2:$B$501,$A64,Rounds!$D$2:$D$501,"&gt;"&amp;($E64-Settings!$B$2)),Settings!$B$3)))</f>
      </c>
      <c r="E64" s="5">
        <f>IF($A64="","",COUNTIFS(Rounds!$B$2:$B$501,$A64,Rounds!$D$2:$D$501,"&gt;0"))</f>
      </c>
      <c r="F64" s="5">
        <f>IF($A64="","",ROUND(SUMIFS(Rounds!$F$2:$F$501,Rounds!$B$2:$B$501,$A64),2))</f>
      </c>
      <c r="G64" s="5">
        <f>IF($A64="","",COUNTIFS(Rounds!$B$2:$B$501,$A64,Rounds!$G$2:$G$501,1))</f>
      </c>
      <c r="H64" s="5">
        <f>IF($A64="","",COUNTIF($F$2:$F$101,"&gt;"&amp;$F64)+COUNTIF($F$2:$F64,$F64))</f>
      </c>
    </row>
    <row r="65">
      <c r="D65" s="5">
        <f>IF($A65="","",IF(OR($E65=0,AND(Settings!$B$4="Yes",$E65&lt;Settings!$B$2)),IF($B65="","Add a starting quota",ROUND($B65,Settings!$B$3)),ROUND(SUMIFS(Rounds!$C$2:$C$501,Rounds!$B$2:$B$501,$A65,Rounds!$D$2:$D$501,"&gt;"&amp;($E65-Settings!$B$2))/COUNTIFS(Rounds!$B$2:$B$501,$A65,Rounds!$D$2:$D$501,"&gt;"&amp;($E65-Settings!$B$2)),Settings!$B$3)))</f>
      </c>
      <c r="E65" s="5">
        <f>IF($A65="","",COUNTIFS(Rounds!$B$2:$B$501,$A65,Rounds!$D$2:$D$501,"&gt;0"))</f>
      </c>
      <c r="F65" s="5">
        <f>IF($A65="","",ROUND(SUMIFS(Rounds!$F$2:$F$501,Rounds!$B$2:$B$501,$A65),2))</f>
      </c>
      <c r="G65" s="5">
        <f>IF($A65="","",COUNTIFS(Rounds!$B$2:$B$501,$A65,Rounds!$G$2:$G$501,1))</f>
      </c>
      <c r="H65" s="5">
        <f>IF($A65="","",COUNTIF($F$2:$F$101,"&gt;"&amp;$F65)+COUNTIF($F$2:$F65,$F65))</f>
      </c>
    </row>
    <row r="66">
      <c r="D66" s="5">
        <f>IF($A66="","",IF(OR($E66=0,AND(Settings!$B$4="Yes",$E66&lt;Settings!$B$2)),IF($B66="","Add a starting quota",ROUND($B66,Settings!$B$3)),ROUND(SUMIFS(Rounds!$C$2:$C$501,Rounds!$B$2:$B$501,$A66,Rounds!$D$2:$D$501,"&gt;"&amp;($E66-Settings!$B$2))/COUNTIFS(Rounds!$B$2:$B$501,$A66,Rounds!$D$2:$D$501,"&gt;"&amp;($E66-Settings!$B$2)),Settings!$B$3)))</f>
      </c>
      <c r="E66" s="5">
        <f>IF($A66="","",COUNTIFS(Rounds!$B$2:$B$501,$A66,Rounds!$D$2:$D$501,"&gt;0"))</f>
      </c>
      <c r="F66" s="5">
        <f>IF($A66="","",ROUND(SUMIFS(Rounds!$F$2:$F$501,Rounds!$B$2:$B$501,$A66),2))</f>
      </c>
      <c r="G66" s="5">
        <f>IF($A66="","",COUNTIFS(Rounds!$B$2:$B$501,$A66,Rounds!$G$2:$G$501,1))</f>
      </c>
      <c r="H66" s="5">
        <f>IF($A66="","",COUNTIF($F$2:$F$101,"&gt;"&amp;$F66)+COUNTIF($F$2:$F66,$F66))</f>
      </c>
    </row>
    <row r="67">
      <c r="D67" s="5">
        <f>IF($A67="","",IF(OR($E67=0,AND(Settings!$B$4="Yes",$E67&lt;Settings!$B$2)),IF($B67="","Add a starting quota",ROUND($B67,Settings!$B$3)),ROUND(SUMIFS(Rounds!$C$2:$C$501,Rounds!$B$2:$B$501,$A67,Rounds!$D$2:$D$501,"&gt;"&amp;($E67-Settings!$B$2))/COUNTIFS(Rounds!$B$2:$B$501,$A67,Rounds!$D$2:$D$501,"&gt;"&amp;($E67-Settings!$B$2)),Settings!$B$3)))</f>
      </c>
      <c r="E67" s="5">
        <f>IF($A67="","",COUNTIFS(Rounds!$B$2:$B$501,$A67,Rounds!$D$2:$D$501,"&gt;0"))</f>
      </c>
      <c r="F67" s="5">
        <f>IF($A67="","",ROUND(SUMIFS(Rounds!$F$2:$F$501,Rounds!$B$2:$B$501,$A67),2))</f>
      </c>
      <c r="G67" s="5">
        <f>IF($A67="","",COUNTIFS(Rounds!$B$2:$B$501,$A67,Rounds!$G$2:$G$501,1))</f>
      </c>
      <c r="H67" s="5">
        <f>IF($A67="","",COUNTIF($F$2:$F$101,"&gt;"&amp;$F67)+COUNTIF($F$2:$F67,$F67))</f>
      </c>
    </row>
    <row r="68">
      <c r="D68" s="5">
        <f>IF($A68="","",IF(OR($E68=0,AND(Settings!$B$4="Yes",$E68&lt;Settings!$B$2)),IF($B68="","Add a starting quota",ROUND($B68,Settings!$B$3)),ROUND(SUMIFS(Rounds!$C$2:$C$501,Rounds!$B$2:$B$501,$A68,Rounds!$D$2:$D$501,"&gt;"&amp;($E68-Settings!$B$2))/COUNTIFS(Rounds!$B$2:$B$501,$A68,Rounds!$D$2:$D$501,"&gt;"&amp;($E68-Settings!$B$2)),Settings!$B$3)))</f>
      </c>
      <c r="E68" s="5">
        <f>IF($A68="","",COUNTIFS(Rounds!$B$2:$B$501,$A68,Rounds!$D$2:$D$501,"&gt;0"))</f>
      </c>
      <c r="F68" s="5">
        <f>IF($A68="","",ROUND(SUMIFS(Rounds!$F$2:$F$501,Rounds!$B$2:$B$501,$A68),2))</f>
      </c>
      <c r="G68" s="5">
        <f>IF($A68="","",COUNTIFS(Rounds!$B$2:$B$501,$A68,Rounds!$G$2:$G$501,1))</f>
      </c>
      <c r="H68" s="5">
        <f>IF($A68="","",COUNTIF($F$2:$F$101,"&gt;"&amp;$F68)+COUNTIF($F$2:$F68,$F68))</f>
      </c>
    </row>
    <row r="69">
      <c r="D69" s="5">
        <f>IF($A69="","",IF(OR($E69=0,AND(Settings!$B$4="Yes",$E69&lt;Settings!$B$2)),IF($B69="","Add a starting quota",ROUND($B69,Settings!$B$3)),ROUND(SUMIFS(Rounds!$C$2:$C$501,Rounds!$B$2:$B$501,$A69,Rounds!$D$2:$D$501,"&gt;"&amp;($E69-Settings!$B$2))/COUNTIFS(Rounds!$B$2:$B$501,$A69,Rounds!$D$2:$D$501,"&gt;"&amp;($E69-Settings!$B$2)),Settings!$B$3)))</f>
      </c>
      <c r="E69" s="5">
        <f>IF($A69="","",COUNTIFS(Rounds!$B$2:$B$501,$A69,Rounds!$D$2:$D$501,"&gt;0"))</f>
      </c>
      <c r="F69" s="5">
        <f>IF($A69="","",ROUND(SUMIFS(Rounds!$F$2:$F$501,Rounds!$B$2:$B$501,$A69),2))</f>
      </c>
      <c r="G69" s="5">
        <f>IF($A69="","",COUNTIFS(Rounds!$B$2:$B$501,$A69,Rounds!$G$2:$G$501,1))</f>
      </c>
      <c r="H69" s="5">
        <f>IF($A69="","",COUNTIF($F$2:$F$101,"&gt;"&amp;$F69)+COUNTIF($F$2:$F69,$F69))</f>
      </c>
    </row>
    <row r="70">
      <c r="D70" s="5">
        <f>IF($A70="","",IF(OR($E70=0,AND(Settings!$B$4="Yes",$E70&lt;Settings!$B$2)),IF($B70="","Add a starting quota",ROUND($B70,Settings!$B$3)),ROUND(SUMIFS(Rounds!$C$2:$C$501,Rounds!$B$2:$B$501,$A70,Rounds!$D$2:$D$501,"&gt;"&amp;($E70-Settings!$B$2))/COUNTIFS(Rounds!$B$2:$B$501,$A70,Rounds!$D$2:$D$501,"&gt;"&amp;($E70-Settings!$B$2)),Settings!$B$3)))</f>
      </c>
      <c r="E70" s="5">
        <f>IF($A70="","",COUNTIFS(Rounds!$B$2:$B$501,$A70,Rounds!$D$2:$D$501,"&gt;0"))</f>
      </c>
      <c r="F70" s="5">
        <f>IF($A70="","",ROUND(SUMIFS(Rounds!$F$2:$F$501,Rounds!$B$2:$B$501,$A70),2))</f>
      </c>
      <c r="G70" s="5">
        <f>IF($A70="","",COUNTIFS(Rounds!$B$2:$B$501,$A70,Rounds!$G$2:$G$501,1))</f>
      </c>
      <c r="H70" s="5">
        <f>IF($A70="","",COUNTIF($F$2:$F$101,"&gt;"&amp;$F70)+COUNTIF($F$2:$F70,$F70))</f>
      </c>
    </row>
    <row r="71">
      <c r="D71" s="5">
        <f>IF($A71="","",IF(OR($E71=0,AND(Settings!$B$4="Yes",$E71&lt;Settings!$B$2)),IF($B71="","Add a starting quota",ROUND($B71,Settings!$B$3)),ROUND(SUMIFS(Rounds!$C$2:$C$501,Rounds!$B$2:$B$501,$A71,Rounds!$D$2:$D$501,"&gt;"&amp;($E71-Settings!$B$2))/COUNTIFS(Rounds!$B$2:$B$501,$A71,Rounds!$D$2:$D$501,"&gt;"&amp;($E71-Settings!$B$2)),Settings!$B$3)))</f>
      </c>
      <c r="E71" s="5">
        <f>IF($A71="","",COUNTIFS(Rounds!$B$2:$B$501,$A71,Rounds!$D$2:$D$501,"&gt;0"))</f>
      </c>
      <c r="F71" s="5">
        <f>IF($A71="","",ROUND(SUMIFS(Rounds!$F$2:$F$501,Rounds!$B$2:$B$501,$A71),2))</f>
      </c>
      <c r="G71" s="5">
        <f>IF($A71="","",COUNTIFS(Rounds!$B$2:$B$501,$A71,Rounds!$G$2:$G$501,1))</f>
      </c>
      <c r="H71" s="5">
        <f>IF($A71="","",COUNTIF($F$2:$F$101,"&gt;"&amp;$F71)+COUNTIF($F$2:$F71,$F71))</f>
      </c>
    </row>
    <row r="72">
      <c r="D72" s="5">
        <f>IF($A72="","",IF(OR($E72=0,AND(Settings!$B$4="Yes",$E72&lt;Settings!$B$2)),IF($B72="","Add a starting quota",ROUND($B72,Settings!$B$3)),ROUND(SUMIFS(Rounds!$C$2:$C$501,Rounds!$B$2:$B$501,$A72,Rounds!$D$2:$D$501,"&gt;"&amp;($E72-Settings!$B$2))/COUNTIFS(Rounds!$B$2:$B$501,$A72,Rounds!$D$2:$D$501,"&gt;"&amp;($E72-Settings!$B$2)),Settings!$B$3)))</f>
      </c>
      <c r="E72" s="5">
        <f>IF($A72="","",COUNTIFS(Rounds!$B$2:$B$501,$A72,Rounds!$D$2:$D$501,"&gt;0"))</f>
      </c>
      <c r="F72" s="5">
        <f>IF($A72="","",ROUND(SUMIFS(Rounds!$F$2:$F$501,Rounds!$B$2:$B$501,$A72),2))</f>
      </c>
      <c r="G72" s="5">
        <f>IF($A72="","",COUNTIFS(Rounds!$B$2:$B$501,$A72,Rounds!$G$2:$G$501,1))</f>
      </c>
      <c r="H72" s="5">
        <f>IF($A72="","",COUNTIF($F$2:$F$101,"&gt;"&amp;$F72)+COUNTIF($F$2:$F72,$F72))</f>
      </c>
    </row>
    <row r="73">
      <c r="D73" s="5">
        <f>IF($A73="","",IF(OR($E73=0,AND(Settings!$B$4="Yes",$E73&lt;Settings!$B$2)),IF($B73="","Add a starting quota",ROUND($B73,Settings!$B$3)),ROUND(SUMIFS(Rounds!$C$2:$C$501,Rounds!$B$2:$B$501,$A73,Rounds!$D$2:$D$501,"&gt;"&amp;($E73-Settings!$B$2))/COUNTIFS(Rounds!$B$2:$B$501,$A73,Rounds!$D$2:$D$501,"&gt;"&amp;($E73-Settings!$B$2)),Settings!$B$3)))</f>
      </c>
      <c r="E73" s="5">
        <f>IF($A73="","",COUNTIFS(Rounds!$B$2:$B$501,$A73,Rounds!$D$2:$D$501,"&gt;0"))</f>
      </c>
      <c r="F73" s="5">
        <f>IF($A73="","",ROUND(SUMIFS(Rounds!$F$2:$F$501,Rounds!$B$2:$B$501,$A73),2))</f>
      </c>
      <c r="G73" s="5">
        <f>IF($A73="","",COUNTIFS(Rounds!$B$2:$B$501,$A73,Rounds!$G$2:$G$501,1))</f>
      </c>
      <c r="H73" s="5">
        <f>IF($A73="","",COUNTIF($F$2:$F$101,"&gt;"&amp;$F73)+COUNTIF($F$2:$F73,$F73))</f>
      </c>
    </row>
    <row r="74">
      <c r="D74" s="5">
        <f>IF($A74="","",IF(OR($E74=0,AND(Settings!$B$4="Yes",$E74&lt;Settings!$B$2)),IF($B74="","Add a starting quota",ROUND($B74,Settings!$B$3)),ROUND(SUMIFS(Rounds!$C$2:$C$501,Rounds!$B$2:$B$501,$A74,Rounds!$D$2:$D$501,"&gt;"&amp;($E74-Settings!$B$2))/COUNTIFS(Rounds!$B$2:$B$501,$A74,Rounds!$D$2:$D$501,"&gt;"&amp;($E74-Settings!$B$2)),Settings!$B$3)))</f>
      </c>
      <c r="E74" s="5">
        <f>IF($A74="","",COUNTIFS(Rounds!$B$2:$B$501,$A74,Rounds!$D$2:$D$501,"&gt;0"))</f>
      </c>
      <c r="F74" s="5">
        <f>IF($A74="","",ROUND(SUMIFS(Rounds!$F$2:$F$501,Rounds!$B$2:$B$501,$A74),2))</f>
      </c>
      <c r="G74" s="5">
        <f>IF($A74="","",COUNTIFS(Rounds!$B$2:$B$501,$A74,Rounds!$G$2:$G$501,1))</f>
      </c>
      <c r="H74" s="5">
        <f>IF($A74="","",COUNTIF($F$2:$F$101,"&gt;"&amp;$F74)+COUNTIF($F$2:$F74,$F74))</f>
      </c>
    </row>
    <row r="75">
      <c r="D75" s="5">
        <f>IF($A75="","",IF(OR($E75=0,AND(Settings!$B$4="Yes",$E75&lt;Settings!$B$2)),IF($B75="","Add a starting quota",ROUND($B75,Settings!$B$3)),ROUND(SUMIFS(Rounds!$C$2:$C$501,Rounds!$B$2:$B$501,$A75,Rounds!$D$2:$D$501,"&gt;"&amp;($E75-Settings!$B$2))/COUNTIFS(Rounds!$B$2:$B$501,$A75,Rounds!$D$2:$D$501,"&gt;"&amp;($E75-Settings!$B$2)),Settings!$B$3)))</f>
      </c>
      <c r="E75" s="5">
        <f>IF($A75="","",COUNTIFS(Rounds!$B$2:$B$501,$A75,Rounds!$D$2:$D$501,"&gt;0"))</f>
      </c>
      <c r="F75" s="5">
        <f>IF($A75="","",ROUND(SUMIFS(Rounds!$F$2:$F$501,Rounds!$B$2:$B$501,$A75),2))</f>
      </c>
      <c r="G75" s="5">
        <f>IF($A75="","",COUNTIFS(Rounds!$B$2:$B$501,$A75,Rounds!$G$2:$G$501,1))</f>
      </c>
      <c r="H75" s="5">
        <f>IF($A75="","",COUNTIF($F$2:$F$101,"&gt;"&amp;$F75)+COUNTIF($F$2:$F75,$F75))</f>
      </c>
    </row>
    <row r="76">
      <c r="D76" s="5">
        <f>IF($A76="","",IF(OR($E76=0,AND(Settings!$B$4="Yes",$E76&lt;Settings!$B$2)),IF($B76="","Add a starting quota",ROUND($B76,Settings!$B$3)),ROUND(SUMIFS(Rounds!$C$2:$C$501,Rounds!$B$2:$B$501,$A76,Rounds!$D$2:$D$501,"&gt;"&amp;($E76-Settings!$B$2))/COUNTIFS(Rounds!$B$2:$B$501,$A76,Rounds!$D$2:$D$501,"&gt;"&amp;($E76-Settings!$B$2)),Settings!$B$3)))</f>
      </c>
      <c r="E76" s="5">
        <f>IF($A76="","",COUNTIFS(Rounds!$B$2:$B$501,$A76,Rounds!$D$2:$D$501,"&gt;0"))</f>
      </c>
      <c r="F76" s="5">
        <f>IF($A76="","",ROUND(SUMIFS(Rounds!$F$2:$F$501,Rounds!$B$2:$B$501,$A76),2))</f>
      </c>
      <c r="G76" s="5">
        <f>IF($A76="","",COUNTIFS(Rounds!$B$2:$B$501,$A76,Rounds!$G$2:$G$501,1))</f>
      </c>
      <c r="H76" s="5">
        <f>IF($A76="","",COUNTIF($F$2:$F$101,"&gt;"&amp;$F76)+COUNTIF($F$2:$F76,$F76))</f>
      </c>
    </row>
    <row r="77">
      <c r="D77" s="5">
        <f>IF($A77="","",IF(OR($E77=0,AND(Settings!$B$4="Yes",$E77&lt;Settings!$B$2)),IF($B77="","Add a starting quota",ROUND($B77,Settings!$B$3)),ROUND(SUMIFS(Rounds!$C$2:$C$501,Rounds!$B$2:$B$501,$A77,Rounds!$D$2:$D$501,"&gt;"&amp;($E77-Settings!$B$2))/COUNTIFS(Rounds!$B$2:$B$501,$A77,Rounds!$D$2:$D$501,"&gt;"&amp;($E77-Settings!$B$2)),Settings!$B$3)))</f>
      </c>
      <c r="E77" s="5">
        <f>IF($A77="","",COUNTIFS(Rounds!$B$2:$B$501,$A77,Rounds!$D$2:$D$501,"&gt;0"))</f>
      </c>
      <c r="F77" s="5">
        <f>IF($A77="","",ROUND(SUMIFS(Rounds!$F$2:$F$501,Rounds!$B$2:$B$501,$A77),2))</f>
      </c>
      <c r="G77" s="5">
        <f>IF($A77="","",COUNTIFS(Rounds!$B$2:$B$501,$A77,Rounds!$G$2:$G$501,1))</f>
      </c>
      <c r="H77" s="5">
        <f>IF($A77="","",COUNTIF($F$2:$F$101,"&gt;"&amp;$F77)+COUNTIF($F$2:$F77,$F77))</f>
      </c>
    </row>
    <row r="78">
      <c r="D78" s="5">
        <f>IF($A78="","",IF(OR($E78=0,AND(Settings!$B$4="Yes",$E78&lt;Settings!$B$2)),IF($B78="","Add a starting quota",ROUND($B78,Settings!$B$3)),ROUND(SUMIFS(Rounds!$C$2:$C$501,Rounds!$B$2:$B$501,$A78,Rounds!$D$2:$D$501,"&gt;"&amp;($E78-Settings!$B$2))/COUNTIFS(Rounds!$B$2:$B$501,$A78,Rounds!$D$2:$D$501,"&gt;"&amp;($E78-Settings!$B$2)),Settings!$B$3)))</f>
      </c>
      <c r="E78" s="5">
        <f>IF($A78="","",COUNTIFS(Rounds!$B$2:$B$501,$A78,Rounds!$D$2:$D$501,"&gt;0"))</f>
      </c>
      <c r="F78" s="5">
        <f>IF($A78="","",ROUND(SUMIFS(Rounds!$F$2:$F$501,Rounds!$B$2:$B$501,$A78),2))</f>
      </c>
      <c r="G78" s="5">
        <f>IF($A78="","",COUNTIFS(Rounds!$B$2:$B$501,$A78,Rounds!$G$2:$G$501,1))</f>
      </c>
      <c r="H78" s="5">
        <f>IF($A78="","",COUNTIF($F$2:$F$101,"&gt;"&amp;$F78)+COUNTIF($F$2:$F78,$F78))</f>
      </c>
    </row>
    <row r="79">
      <c r="D79" s="5">
        <f>IF($A79="","",IF(OR($E79=0,AND(Settings!$B$4="Yes",$E79&lt;Settings!$B$2)),IF($B79="","Add a starting quota",ROUND($B79,Settings!$B$3)),ROUND(SUMIFS(Rounds!$C$2:$C$501,Rounds!$B$2:$B$501,$A79,Rounds!$D$2:$D$501,"&gt;"&amp;($E79-Settings!$B$2))/COUNTIFS(Rounds!$B$2:$B$501,$A79,Rounds!$D$2:$D$501,"&gt;"&amp;($E79-Settings!$B$2)),Settings!$B$3)))</f>
      </c>
      <c r="E79" s="5">
        <f>IF($A79="","",COUNTIFS(Rounds!$B$2:$B$501,$A79,Rounds!$D$2:$D$501,"&gt;0"))</f>
      </c>
      <c r="F79" s="5">
        <f>IF($A79="","",ROUND(SUMIFS(Rounds!$F$2:$F$501,Rounds!$B$2:$B$501,$A79),2))</f>
      </c>
      <c r="G79" s="5">
        <f>IF($A79="","",COUNTIFS(Rounds!$B$2:$B$501,$A79,Rounds!$G$2:$G$501,1))</f>
      </c>
      <c r="H79" s="5">
        <f>IF($A79="","",COUNTIF($F$2:$F$101,"&gt;"&amp;$F79)+COUNTIF($F$2:$F79,$F79))</f>
      </c>
    </row>
    <row r="80">
      <c r="D80" s="5">
        <f>IF($A80="","",IF(OR($E80=0,AND(Settings!$B$4="Yes",$E80&lt;Settings!$B$2)),IF($B80="","Add a starting quota",ROUND($B80,Settings!$B$3)),ROUND(SUMIFS(Rounds!$C$2:$C$501,Rounds!$B$2:$B$501,$A80,Rounds!$D$2:$D$501,"&gt;"&amp;($E80-Settings!$B$2))/COUNTIFS(Rounds!$B$2:$B$501,$A80,Rounds!$D$2:$D$501,"&gt;"&amp;($E80-Settings!$B$2)),Settings!$B$3)))</f>
      </c>
      <c r="E80" s="5">
        <f>IF($A80="","",COUNTIFS(Rounds!$B$2:$B$501,$A80,Rounds!$D$2:$D$501,"&gt;0"))</f>
      </c>
      <c r="F80" s="5">
        <f>IF($A80="","",ROUND(SUMIFS(Rounds!$F$2:$F$501,Rounds!$B$2:$B$501,$A80),2))</f>
      </c>
      <c r="G80" s="5">
        <f>IF($A80="","",COUNTIFS(Rounds!$B$2:$B$501,$A80,Rounds!$G$2:$G$501,1))</f>
      </c>
      <c r="H80" s="5">
        <f>IF($A80="","",COUNTIF($F$2:$F$101,"&gt;"&amp;$F80)+COUNTIF($F$2:$F80,$F80))</f>
      </c>
    </row>
    <row r="81">
      <c r="D81" s="5">
        <f>IF($A81="","",IF(OR($E81=0,AND(Settings!$B$4="Yes",$E81&lt;Settings!$B$2)),IF($B81="","Add a starting quota",ROUND($B81,Settings!$B$3)),ROUND(SUMIFS(Rounds!$C$2:$C$501,Rounds!$B$2:$B$501,$A81,Rounds!$D$2:$D$501,"&gt;"&amp;($E81-Settings!$B$2))/COUNTIFS(Rounds!$B$2:$B$501,$A81,Rounds!$D$2:$D$501,"&gt;"&amp;($E81-Settings!$B$2)),Settings!$B$3)))</f>
      </c>
      <c r="E81" s="5">
        <f>IF($A81="","",COUNTIFS(Rounds!$B$2:$B$501,$A81,Rounds!$D$2:$D$501,"&gt;0"))</f>
      </c>
      <c r="F81" s="5">
        <f>IF($A81="","",ROUND(SUMIFS(Rounds!$F$2:$F$501,Rounds!$B$2:$B$501,$A81),2))</f>
      </c>
      <c r="G81" s="5">
        <f>IF($A81="","",COUNTIFS(Rounds!$B$2:$B$501,$A81,Rounds!$G$2:$G$501,1))</f>
      </c>
      <c r="H81" s="5">
        <f>IF($A81="","",COUNTIF($F$2:$F$101,"&gt;"&amp;$F81)+COUNTIF($F$2:$F81,$F81))</f>
      </c>
    </row>
    <row r="82">
      <c r="D82" s="5">
        <f>IF($A82="","",IF(OR($E82=0,AND(Settings!$B$4="Yes",$E82&lt;Settings!$B$2)),IF($B82="","Add a starting quota",ROUND($B82,Settings!$B$3)),ROUND(SUMIFS(Rounds!$C$2:$C$501,Rounds!$B$2:$B$501,$A82,Rounds!$D$2:$D$501,"&gt;"&amp;($E82-Settings!$B$2))/COUNTIFS(Rounds!$B$2:$B$501,$A82,Rounds!$D$2:$D$501,"&gt;"&amp;($E82-Settings!$B$2)),Settings!$B$3)))</f>
      </c>
      <c r="E82" s="5">
        <f>IF($A82="","",COUNTIFS(Rounds!$B$2:$B$501,$A82,Rounds!$D$2:$D$501,"&gt;0"))</f>
      </c>
      <c r="F82" s="5">
        <f>IF($A82="","",ROUND(SUMIFS(Rounds!$F$2:$F$501,Rounds!$B$2:$B$501,$A82),2))</f>
      </c>
      <c r="G82" s="5">
        <f>IF($A82="","",COUNTIFS(Rounds!$B$2:$B$501,$A82,Rounds!$G$2:$G$501,1))</f>
      </c>
      <c r="H82" s="5">
        <f>IF($A82="","",COUNTIF($F$2:$F$101,"&gt;"&amp;$F82)+COUNTIF($F$2:$F82,$F82))</f>
      </c>
    </row>
    <row r="83">
      <c r="D83" s="5">
        <f>IF($A83="","",IF(OR($E83=0,AND(Settings!$B$4="Yes",$E83&lt;Settings!$B$2)),IF($B83="","Add a starting quota",ROUND($B83,Settings!$B$3)),ROUND(SUMIFS(Rounds!$C$2:$C$501,Rounds!$B$2:$B$501,$A83,Rounds!$D$2:$D$501,"&gt;"&amp;($E83-Settings!$B$2))/COUNTIFS(Rounds!$B$2:$B$501,$A83,Rounds!$D$2:$D$501,"&gt;"&amp;($E83-Settings!$B$2)),Settings!$B$3)))</f>
      </c>
      <c r="E83" s="5">
        <f>IF($A83="","",COUNTIFS(Rounds!$B$2:$B$501,$A83,Rounds!$D$2:$D$501,"&gt;0"))</f>
      </c>
      <c r="F83" s="5">
        <f>IF($A83="","",ROUND(SUMIFS(Rounds!$F$2:$F$501,Rounds!$B$2:$B$501,$A83),2))</f>
      </c>
      <c r="G83" s="5">
        <f>IF($A83="","",COUNTIFS(Rounds!$B$2:$B$501,$A83,Rounds!$G$2:$G$501,1))</f>
      </c>
      <c r="H83" s="5">
        <f>IF($A83="","",COUNTIF($F$2:$F$101,"&gt;"&amp;$F83)+COUNTIF($F$2:$F83,$F83))</f>
      </c>
    </row>
    <row r="84">
      <c r="D84" s="5">
        <f>IF($A84="","",IF(OR($E84=0,AND(Settings!$B$4="Yes",$E84&lt;Settings!$B$2)),IF($B84="","Add a starting quota",ROUND($B84,Settings!$B$3)),ROUND(SUMIFS(Rounds!$C$2:$C$501,Rounds!$B$2:$B$501,$A84,Rounds!$D$2:$D$501,"&gt;"&amp;($E84-Settings!$B$2))/COUNTIFS(Rounds!$B$2:$B$501,$A84,Rounds!$D$2:$D$501,"&gt;"&amp;($E84-Settings!$B$2)),Settings!$B$3)))</f>
      </c>
      <c r="E84" s="5">
        <f>IF($A84="","",COUNTIFS(Rounds!$B$2:$B$501,$A84,Rounds!$D$2:$D$501,"&gt;0"))</f>
      </c>
      <c r="F84" s="5">
        <f>IF($A84="","",ROUND(SUMIFS(Rounds!$F$2:$F$501,Rounds!$B$2:$B$501,$A84),2))</f>
      </c>
      <c r="G84" s="5">
        <f>IF($A84="","",COUNTIFS(Rounds!$B$2:$B$501,$A84,Rounds!$G$2:$G$501,1))</f>
      </c>
      <c r="H84" s="5">
        <f>IF($A84="","",COUNTIF($F$2:$F$101,"&gt;"&amp;$F84)+COUNTIF($F$2:$F84,$F84))</f>
      </c>
    </row>
    <row r="85">
      <c r="D85" s="5">
        <f>IF($A85="","",IF(OR($E85=0,AND(Settings!$B$4="Yes",$E85&lt;Settings!$B$2)),IF($B85="","Add a starting quota",ROUND($B85,Settings!$B$3)),ROUND(SUMIFS(Rounds!$C$2:$C$501,Rounds!$B$2:$B$501,$A85,Rounds!$D$2:$D$501,"&gt;"&amp;($E85-Settings!$B$2))/COUNTIFS(Rounds!$B$2:$B$501,$A85,Rounds!$D$2:$D$501,"&gt;"&amp;($E85-Settings!$B$2)),Settings!$B$3)))</f>
      </c>
      <c r="E85" s="5">
        <f>IF($A85="","",COUNTIFS(Rounds!$B$2:$B$501,$A85,Rounds!$D$2:$D$501,"&gt;0"))</f>
      </c>
      <c r="F85" s="5">
        <f>IF($A85="","",ROUND(SUMIFS(Rounds!$F$2:$F$501,Rounds!$B$2:$B$501,$A85),2))</f>
      </c>
      <c r="G85" s="5">
        <f>IF($A85="","",COUNTIFS(Rounds!$B$2:$B$501,$A85,Rounds!$G$2:$G$501,1))</f>
      </c>
      <c r="H85" s="5">
        <f>IF($A85="","",COUNTIF($F$2:$F$101,"&gt;"&amp;$F85)+COUNTIF($F$2:$F85,$F85))</f>
      </c>
    </row>
    <row r="86">
      <c r="D86" s="5">
        <f>IF($A86="","",IF(OR($E86=0,AND(Settings!$B$4="Yes",$E86&lt;Settings!$B$2)),IF($B86="","Add a starting quota",ROUND($B86,Settings!$B$3)),ROUND(SUMIFS(Rounds!$C$2:$C$501,Rounds!$B$2:$B$501,$A86,Rounds!$D$2:$D$501,"&gt;"&amp;($E86-Settings!$B$2))/COUNTIFS(Rounds!$B$2:$B$501,$A86,Rounds!$D$2:$D$501,"&gt;"&amp;($E86-Settings!$B$2)),Settings!$B$3)))</f>
      </c>
      <c r="E86" s="5">
        <f>IF($A86="","",COUNTIFS(Rounds!$B$2:$B$501,$A86,Rounds!$D$2:$D$501,"&gt;0"))</f>
      </c>
      <c r="F86" s="5">
        <f>IF($A86="","",ROUND(SUMIFS(Rounds!$F$2:$F$501,Rounds!$B$2:$B$501,$A86),2))</f>
      </c>
      <c r="G86" s="5">
        <f>IF($A86="","",COUNTIFS(Rounds!$B$2:$B$501,$A86,Rounds!$G$2:$G$501,1))</f>
      </c>
      <c r="H86" s="5">
        <f>IF($A86="","",COUNTIF($F$2:$F$101,"&gt;"&amp;$F86)+COUNTIF($F$2:$F86,$F86))</f>
      </c>
    </row>
    <row r="87">
      <c r="D87" s="5">
        <f>IF($A87="","",IF(OR($E87=0,AND(Settings!$B$4="Yes",$E87&lt;Settings!$B$2)),IF($B87="","Add a starting quota",ROUND($B87,Settings!$B$3)),ROUND(SUMIFS(Rounds!$C$2:$C$501,Rounds!$B$2:$B$501,$A87,Rounds!$D$2:$D$501,"&gt;"&amp;($E87-Settings!$B$2))/COUNTIFS(Rounds!$B$2:$B$501,$A87,Rounds!$D$2:$D$501,"&gt;"&amp;($E87-Settings!$B$2)),Settings!$B$3)))</f>
      </c>
      <c r="E87" s="5">
        <f>IF($A87="","",COUNTIFS(Rounds!$B$2:$B$501,$A87,Rounds!$D$2:$D$501,"&gt;0"))</f>
      </c>
      <c r="F87" s="5">
        <f>IF($A87="","",ROUND(SUMIFS(Rounds!$F$2:$F$501,Rounds!$B$2:$B$501,$A87),2))</f>
      </c>
      <c r="G87" s="5">
        <f>IF($A87="","",COUNTIFS(Rounds!$B$2:$B$501,$A87,Rounds!$G$2:$G$501,1))</f>
      </c>
      <c r="H87" s="5">
        <f>IF($A87="","",COUNTIF($F$2:$F$101,"&gt;"&amp;$F87)+COUNTIF($F$2:$F87,$F87))</f>
      </c>
    </row>
    <row r="88">
      <c r="D88" s="5">
        <f>IF($A88="","",IF(OR($E88=0,AND(Settings!$B$4="Yes",$E88&lt;Settings!$B$2)),IF($B88="","Add a starting quota",ROUND($B88,Settings!$B$3)),ROUND(SUMIFS(Rounds!$C$2:$C$501,Rounds!$B$2:$B$501,$A88,Rounds!$D$2:$D$501,"&gt;"&amp;($E88-Settings!$B$2))/COUNTIFS(Rounds!$B$2:$B$501,$A88,Rounds!$D$2:$D$501,"&gt;"&amp;($E88-Settings!$B$2)),Settings!$B$3)))</f>
      </c>
      <c r="E88" s="5">
        <f>IF($A88="","",COUNTIFS(Rounds!$B$2:$B$501,$A88,Rounds!$D$2:$D$501,"&gt;0"))</f>
      </c>
      <c r="F88" s="5">
        <f>IF($A88="","",ROUND(SUMIFS(Rounds!$F$2:$F$501,Rounds!$B$2:$B$501,$A88),2))</f>
      </c>
      <c r="G88" s="5">
        <f>IF($A88="","",COUNTIFS(Rounds!$B$2:$B$501,$A88,Rounds!$G$2:$G$501,1))</f>
      </c>
      <c r="H88" s="5">
        <f>IF($A88="","",COUNTIF($F$2:$F$101,"&gt;"&amp;$F88)+COUNTIF($F$2:$F88,$F88))</f>
      </c>
    </row>
    <row r="89">
      <c r="D89" s="5">
        <f>IF($A89="","",IF(OR($E89=0,AND(Settings!$B$4="Yes",$E89&lt;Settings!$B$2)),IF($B89="","Add a starting quota",ROUND($B89,Settings!$B$3)),ROUND(SUMIFS(Rounds!$C$2:$C$501,Rounds!$B$2:$B$501,$A89,Rounds!$D$2:$D$501,"&gt;"&amp;($E89-Settings!$B$2))/COUNTIFS(Rounds!$B$2:$B$501,$A89,Rounds!$D$2:$D$501,"&gt;"&amp;($E89-Settings!$B$2)),Settings!$B$3)))</f>
      </c>
      <c r="E89" s="5">
        <f>IF($A89="","",COUNTIFS(Rounds!$B$2:$B$501,$A89,Rounds!$D$2:$D$501,"&gt;0"))</f>
      </c>
      <c r="F89" s="5">
        <f>IF($A89="","",ROUND(SUMIFS(Rounds!$F$2:$F$501,Rounds!$B$2:$B$501,$A89),2))</f>
      </c>
      <c r="G89" s="5">
        <f>IF($A89="","",COUNTIFS(Rounds!$B$2:$B$501,$A89,Rounds!$G$2:$G$501,1))</f>
      </c>
      <c r="H89" s="5">
        <f>IF($A89="","",COUNTIF($F$2:$F$101,"&gt;"&amp;$F89)+COUNTIF($F$2:$F89,$F89))</f>
      </c>
    </row>
    <row r="90">
      <c r="D90" s="5">
        <f>IF($A90="","",IF(OR($E90=0,AND(Settings!$B$4="Yes",$E90&lt;Settings!$B$2)),IF($B90="","Add a starting quota",ROUND($B90,Settings!$B$3)),ROUND(SUMIFS(Rounds!$C$2:$C$501,Rounds!$B$2:$B$501,$A90,Rounds!$D$2:$D$501,"&gt;"&amp;($E90-Settings!$B$2))/COUNTIFS(Rounds!$B$2:$B$501,$A90,Rounds!$D$2:$D$501,"&gt;"&amp;($E90-Settings!$B$2)),Settings!$B$3)))</f>
      </c>
      <c r="E90" s="5">
        <f>IF($A90="","",COUNTIFS(Rounds!$B$2:$B$501,$A90,Rounds!$D$2:$D$501,"&gt;0"))</f>
      </c>
      <c r="F90" s="5">
        <f>IF($A90="","",ROUND(SUMIFS(Rounds!$F$2:$F$501,Rounds!$B$2:$B$501,$A90),2))</f>
      </c>
      <c r="G90" s="5">
        <f>IF($A90="","",COUNTIFS(Rounds!$B$2:$B$501,$A90,Rounds!$G$2:$G$501,1))</f>
      </c>
      <c r="H90" s="5">
        <f>IF($A90="","",COUNTIF($F$2:$F$101,"&gt;"&amp;$F90)+COUNTIF($F$2:$F90,$F90))</f>
      </c>
    </row>
    <row r="91">
      <c r="D91" s="5">
        <f>IF($A91="","",IF(OR($E91=0,AND(Settings!$B$4="Yes",$E91&lt;Settings!$B$2)),IF($B91="","Add a starting quota",ROUND($B91,Settings!$B$3)),ROUND(SUMIFS(Rounds!$C$2:$C$501,Rounds!$B$2:$B$501,$A91,Rounds!$D$2:$D$501,"&gt;"&amp;($E91-Settings!$B$2))/COUNTIFS(Rounds!$B$2:$B$501,$A91,Rounds!$D$2:$D$501,"&gt;"&amp;($E91-Settings!$B$2)),Settings!$B$3)))</f>
      </c>
      <c r="E91" s="5">
        <f>IF($A91="","",COUNTIFS(Rounds!$B$2:$B$501,$A91,Rounds!$D$2:$D$501,"&gt;0"))</f>
      </c>
      <c r="F91" s="5">
        <f>IF($A91="","",ROUND(SUMIFS(Rounds!$F$2:$F$501,Rounds!$B$2:$B$501,$A91),2))</f>
      </c>
      <c r="G91" s="5">
        <f>IF($A91="","",COUNTIFS(Rounds!$B$2:$B$501,$A91,Rounds!$G$2:$G$501,1))</f>
      </c>
      <c r="H91" s="5">
        <f>IF($A91="","",COUNTIF($F$2:$F$101,"&gt;"&amp;$F91)+COUNTIF($F$2:$F91,$F91))</f>
      </c>
    </row>
    <row r="92">
      <c r="D92" s="5">
        <f>IF($A92="","",IF(OR($E92=0,AND(Settings!$B$4="Yes",$E92&lt;Settings!$B$2)),IF($B92="","Add a starting quota",ROUND($B92,Settings!$B$3)),ROUND(SUMIFS(Rounds!$C$2:$C$501,Rounds!$B$2:$B$501,$A92,Rounds!$D$2:$D$501,"&gt;"&amp;($E92-Settings!$B$2))/COUNTIFS(Rounds!$B$2:$B$501,$A92,Rounds!$D$2:$D$501,"&gt;"&amp;($E92-Settings!$B$2)),Settings!$B$3)))</f>
      </c>
      <c r="E92" s="5">
        <f>IF($A92="","",COUNTIFS(Rounds!$B$2:$B$501,$A92,Rounds!$D$2:$D$501,"&gt;0"))</f>
      </c>
      <c r="F92" s="5">
        <f>IF($A92="","",ROUND(SUMIFS(Rounds!$F$2:$F$501,Rounds!$B$2:$B$501,$A92),2))</f>
      </c>
      <c r="G92" s="5">
        <f>IF($A92="","",COUNTIFS(Rounds!$B$2:$B$501,$A92,Rounds!$G$2:$G$501,1))</f>
      </c>
      <c r="H92" s="5">
        <f>IF($A92="","",COUNTIF($F$2:$F$101,"&gt;"&amp;$F92)+COUNTIF($F$2:$F92,$F92))</f>
      </c>
    </row>
    <row r="93">
      <c r="D93" s="5">
        <f>IF($A93="","",IF(OR($E93=0,AND(Settings!$B$4="Yes",$E93&lt;Settings!$B$2)),IF($B93="","Add a starting quota",ROUND($B93,Settings!$B$3)),ROUND(SUMIFS(Rounds!$C$2:$C$501,Rounds!$B$2:$B$501,$A93,Rounds!$D$2:$D$501,"&gt;"&amp;($E93-Settings!$B$2))/COUNTIFS(Rounds!$B$2:$B$501,$A93,Rounds!$D$2:$D$501,"&gt;"&amp;($E93-Settings!$B$2)),Settings!$B$3)))</f>
      </c>
      <c r="E93" s="5">
        <f>IF($A93="","",COUNTIFS(Rounds!$B$2:$B$501,$A93,Rounds!$D$2:$D$501,"&gt;0"))</f>
      </c>
      <c r="F93" s="5">
        <f>IF($A93="","",ROUND(SUMIFS(Rounds!$F$2:$F$501,Rounds!$B$2:$B$501,$A93),2))</f>
      </c>
      <c r="G93" s="5">
        <f>IF($A93="","",COUNTIFS(Rounds!$B$2:$B$501,$A93,Rounds!$G$2:$G$501,1))</f>
      </c>
      <c r="H93" s="5">
        <f>IF($A93="","",COUNTIF($F$2:$F$101,"&gt;"&amp;$F93)+COUNTIF($F$2:$F93,$F93))</f>
      </c>
    </row>
    <row r="94">
      <c r="D94" s="5">
        <f>IF($A94="","",IF(OR($E94=0,AND(Settings!$B$4="Yes",$E94&lt;Settings!$B$2)),IF($B94="","Add a starting quota",ROUND($B94,Settings!$B$3)),ROUND(SUMIFS(Rounds!$C$2:$C$501,Rounds!$B$2:$B$501,$A94,Rounds!$D$2:$D$501,"&gt;"&amp;($E94-Settings!$B$2))/COUNTIFS(Rounds!$B$2:$B$501,$A94,Rounds!$D$2:$D$501,"&gt;"&amp;($E94-Settings!$B$2)),Settings!$B$3)))</f>
      </c>
      <c r="E94" s="5">
        <f>IF($A94="","",COUNTIFS(Rounds!$B$2:$B$501,$A94,Rounds!$D$2:$D$501,"&gt;0"))</f>
      </c>
      <c r="F94" s="5">
        <f>IF($A94="","",ROUND(SUMIFS(Rounds!$F$2:$F$501,Rounds!$B$2:$B$501,$A94),2))</f>
      </c>
      <c r="G94" s="5">
        <f>IF($A94="","",COUNTIFS(Rounds!$B$2:$B$501,$A94,Rounds!$G$2:$G$501,1))</f>
      </c>
      <c r="H94" s="5">
        <f>IF($A94="","",COUNTIF($F$2:$F$101,"&gt;"&amp;$F94)+COUNTIF($F$2:$F94,$F94))</f>
      </c>
    </row>
    <row r="95">
      <c r="D95" s="5">
        <f>IF($A95="","",IF(OR($E95=0,AND(Settings!$B$4="Yes",$E95&lt;Settings!$B$2)),IF($B95="","Add a starting quota",ROUND($B95,Settings!$B$3)),ROUND(SUMIFS(Rounds!$C$2:$C$501,Rounds!$B$2:$B$501,$A95,Rounds!$D$2:$D$501,"&gt;"&amp;($E95-Settings!$B$2))/COUNTIFS(Rounds!$B$2:$B$501,$A95,Rounds!$D$2:$D$501,"&gt;"&amp;($E95-Settings!$B$2)),Settings!$B$3)))</f>
      </c>
      <c r="E95" s="5">
        <f>IF($A95="","",COUNTIFS(Rounds!$B$2:$B$501,$A95,Rounds!$D$2:$D$501,"&gt;0"))</f>
      </c>
      <c r="F95" s="5">
        <f>IF($A95="","",ROUND(SUMIFS(Rounds!$F$2:$F$501,Rounds!$B$2:$B$501,$A95),2))</f>
      </c>
      <c r="G95" s="5">
        <f>IF($A95="","",COUNTIFS(Rounds!$B$2:$B$501,$A95,Rounds!$G$2:$G$501,1))</f>
      </c>
      <c r="H95" s="5">
        <f>IF($A95="","",COUNTIF($F$2:$F$101,"&gt;"&amp;$F95)+COUNTIF($F$2:$F95,$F95))</f>
      </c>
    </row>
    <row r="96">
      <c r="D96" s="5">
        <f>IF($A96="","",IF(OR($E96=0,AND(Settings!$B$4="Yes",$E96&lt;Settings!$B$2)),IF($B96="","Add a starting quota",ROUND($B96,Settings!$B$3)),ROUND(SUMIFS(Rounds!$C$2:$C$501,Rounds!$B$2:$B$501,$A96,Rounds!$D$2:$D$501,"&gt;"&amp;($E96-Settings!$B$2))/COUNTIFS(Rounds!$B$2:$B$501,$A96,Rounds!$D$2:$D$501,"&gt;"&amp;($E96-Settings!$B$2)),Settings!$B$3)))</f>
      </c>
      <c r="E96" s="5">
        <f>IF($A96="","",COUNTIFS(Rounds!$B$2:$B$501,$A96,Rounds!$D$2:$D$501,"&gt;0"))</f>
      </c>
      <c r="F96" s="5">
        <f>IF($A96="","",ROUND(SUMIFS(Rounds!$F$2:$F$501,Rounds!$B$2:$B$501,$A96),2))</f>
      </c>
      <c r="G96" s="5">
        <f>IF($A96="","",COUNTIFS(Rounds!$B$2:$B$501,$A96,Rounds!$G$2:$G$501,1))</f>
      </c>
      <c r="H96" s="5">
        <f>IF($A96="","",COUNTIF($F$2:$F$101,"&gt;"&amp;$F96)+COUNTIF($F$2:$F96,$F96))</f>
      </c>
    </row>
    <row r="97">
      <c r="D97" s="5">
        <f>IF($A97="","",IF(OR($E97=0,AND(Settings!$B$4="Yes",$E97&lt;Settings!$B$2)),IF($B97="","Add a starting quota",ROUND($B97,Settings!$B$3)),ROUND(SUMIFS(Rounds!$C$2:$C$501,Rounds!$B$2:$B$501,$A97,Rounds!$D$2:$D$501,"&gt;"&amp;($E97-Settings!$B$2))/COUNTIFS(Rounds!$B$2:$B$501,$A97,Rounds!$D$2:$D$501,"&gt;"&amp;($E97-Settings!$B$2)),Settings!$B$3)))</f>
      </c>
      <c r="E97" s="5">
        <f>IF($A97="","",COUNTIFS(Rounds!$B$2:$B$501,$A97,Rounds!$D$2:$D$501,"&gt;0"))</f>
      </c>
      <c r="F97" s="5">
        <f>IF($A97="","",ROUND(SUMIFS(Rounds!$F$2:$F$501,Rounds!$B$2:$B$501,$A97),2))</f>
      </c>
      <c r="G97" s="5">
        <f>IF($A97="","",COUNTIFS(Rounds!$B$2:$B$501,$A97,Rounds!$G$2:$G$501,1))</f>
      </c>
      <c r="H97" s="5">
        <f>IF($A97="","",COUNTIF($F$2:$F$101,"&gt;"&amp;$F97)+COUNTIF($F$2:$F97,$F97))</f>
      </c>
    </row>
    <row r="98">
      <c r="D98" s="5">
        <f>IF($A98="","",IF(OR($E98=0,AND(Settings!$B$4="Yes",$E98&lt;Settings!$B$2)),IF($B98="","Add a starting quota",ROUND($B98,Settings!$B$3)),ROUND(SUMIFS(Rounds!$C$2:$C$501,Rounds!$B$2:$B$501,$A98,Rounds!$D$2:$D$501,"&gt;"&amp;($E98-Settings!$B$2))/COUNTIFS(Rounds!$B$2:$B$501,$A98,Rounds!$D$2:$D$501,"&gt;"&amp;($E98-Settings!$B$2)),Settings!$B$3)))</f>
      </c>
      <c r="E98" s="5">
        <f>IF($A98="","",COUNTIFS(Rounds!$B$2:$B$501,$A98,Rounds!$D$2:$D$501,"&gt;0"))</f>
      </c>
      <c r="F98" s="5">
        <f>IF($A98="","",ROUND(SUMIFS(Rounds!$F$2:$F$501,Rounds!$B$2:$B$501,$A98),2))</f>
      </c>
      <c r="G98" s="5">
        <f>IF($A98="","",COUNTIFS(Rounds!$B$2:$B$501,$A98,Rounds!$G$2:$G$501,1))</f>
      </c>
      <c r="H98" s="5">
        <f>IF($A98="","",COUNTIF($F$2:$F$101,"&gt;"&amp;$F98)+COUNTIF($F$2:$F98,$F98))</f>
      </c>
    </row>
    <row r="99">
      <c r="D99" s="5">
        <f>IF($A99="","",IF(OR($E99=0,AND(Settings!$B$4="Yes",$E99&lt;Settings!$B$2)),IF($B99="","Add a starting quota",ROUND($B99,Settings!$B$3)),ROUND(SUMIFS(Rounds!$C$2:$C$501,Rounds!$B$2:$B$501,$A99,Rounds!$D$2:$D$501,"&gt;"&amp;($E99-Settings!$B$2))/COUNTIFS(Rounds!$B$2:$B$501,$A99,Rounds!$D$2:$D$501,"&gt;"&amp;($E99-Settings!$B$2)),Settings!$B$3)))</f>
      </c>
      <c r="E99" s="5">
        <f>IF($A99="","",COUNTIFS(Rounds!$B$2:$B$501,$A99,Rounds!$D$2:$D$501,"&gt;0"))</f>
      </c>
      <c r="F99" s="5">
        <f>IF($A99="","",ROUND(SUMIFS(Rounds!$F$2:$F$501,Rounds!$B$2:$B$501,$A99),2))</f>
      </c>
      <c r="G99" s="5">
        <f>IF($A99="","",COUNTIFS(Rounds!$B$2:$B$501,$A99,Rounds!$G$2:$G$501,1))</f>
      </c>
      <c r="H99" s="5">
        <f>IF($A99="","",COUNTIF($F$2:$F$101,"&gt;"&amp;$F99)+COUNTIF($F$2:$F99,$F99))</f>
      </c>
    </row>
    <row r="100">
      <c r="D100" s="5">
        <f>IF($A100="","",IF(OR($E100=0,AND(Settings!$B$4="Yes",$E100&lt;Settings!$B$2)),IF($B100="","Add a starting quota",ROUND($B100,Settings!$B$3)),ROUND(SUMIFS(Rounds!$C$2:$C$501,Rounds!$B$2:$B$501,$A100,Rounds!$D$2:$D$501,"&gt;"&amp;($E100-Settings!$B$2))/COUNTIFS(Rounds!$B$2:$B$501,$A100,Rounds!$D$2:$D$501,"&gt;"&amp;($E100-Settings!$B$2)),Settings!$B$3)))</f>
      </c>
      <c r="E100" s="5">
        <f>IF($A100="","",COUNTIFS(Rounds!$B$2:$B$501,$A100,Rounds!$D$2:$D$501,"&gt;0"))</f>
      </c>
      <c r="F100" s="5">
        <f>IF($A100="","",ROUND(SUMIFS(Rounds!$F$2:$F$501,Rounds!$B$2:$B$501,$A100),2))</f>
      </c>
      <c r="G100" s="5">
        <f>IF($A100="","",COUNTIFS(Rounds!$B$2:$B$501,$A100,Rounds!$G$2:$G$501,1))</f>
      </c>
      <c r="H100" s="5">
        <f>IF($A100="","",COUNTIF($F$2:$F$101,"&gt;"&amp;$F100)+COUNTIF($F$2:$F100,$F100))</f>
      </c>
    </row>
    <row r="101">
      <c r="D101" s="5">
        <f>IF($A101="","",IF(OR($E101=0,AND(Settings!$B$4="Yes",$E101&lt;Settings!$B$2)),IF($B101="","Add a starting quota",ROUND($B101,Settings!$B$3)),ROUND(SUMIFS(Rounds!$C$2:$C$501,Rounds!$B$2:$B$501,$A101,Rounds!$D$2:$D$501,"&gt;"&amp;($E101-Settings!$B$2))/COUNTIFS(Rounds!$B$2:$B$501,$A101,Rounds!$D$2:$D$501,"&gt;"&amp;($E101-Settings!$B$2)),Settings!$B$3)))</f>
      </c>
      <c r="E101" s="5">
        <f>IF($A101="","",COUNTIFS(Rounds!$B$2:$B$501,$A101,Rounds!$D$2:$D$501,"&gt;0"))</f>
      </c>
      <c r="F101" s="5">
        <f>IF($A101="","",ROUND(SUMIFS(Rounds!$F$2:$F$501,Rounds!$B$2:$B$501,$A101),2))</f>
      </c>
      <c r="G101" s="5">
        <f>IF($A101="","",COUNTIFS(Rounds!$B$2:$B$501,$A101,Rounds!$G$2:$G$501,1))</f>
      </c>
      <c r="H101" s="5">
        <f>IF($A101="","",COUNTIF($F$2:$F$101,"&gt;"&amp;$F101)+COUNTIF($F$2:$F101,$F101))</f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4" customWidth="1"/>
    <col min="2" max="2" width="24" customWidth="1"/>
    <col min="3" max="3" width="8" customWidth="1"/>
    <col min="4" max="4" width="10" customWidth="1"/>
    <col min="5" max="5" width="12" customWidth="1"/>
    <col min="6" max="6" width="10" customWidth="1"/>
    <col min="7" max="7" width="8" customWidth="1"/>
  </cols>
  <sheetData>
    <row r="1">
      <c r="A1" s="4" t="s">
        <v>20</v>
      </c>
      <c r="B1" s="4" t="s">
        <v>12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</row>
    <row r="2">
      <c r="A2" s="6"/>
      <c r="D2" s="5">
        <f>IF(OR($A2="",$B2="",$C2=""),"",COUNTIFS($B$2:$B$501,$B2,$C$2:$C$501,"&lt;&gt;",$A$2:$A$501,"&lt;"&amp;$A2)+COUNTIFS($B$1:$B1,$B2,$C$1:$C1,"&lt;&gt;",$A$1:$A1,$A2)+1)</f>
      </c>
      <c r="E2" s="5">
        <f>IF($D2="","",IF(OR($D2=1,AND(Settings!$B$4="Yes",$D2&lt;=Settings!$B$2)),IF(COUNTIFS(Players!$A$2:$A$101,$B2,Players!$B$2:$B$101,"&lt;&gt;")=0,"Add a starting quota",ROUND(SUMIFS(Players!$B$2:$B$101,Players!$A$2:$A$101,$B2),Settings!$B$3)),ROUND(SUMIFS($C$2:$C$501,$B$2:$B$501,$B2,$D$2:$D$501,"&gt;="&amp;($D2-Settings!$B$2),$D$2:$D$501,"&lt;"&amp;$D2)/COUNTIFS($B$2:$B$501,$B2,$D$2:$D$501,"&gt;="&amp;($D2-Settings!$B$2),$D$2:$D$501,"&lt;"&amp;$D2),Settings!$B$3)))</f>
      </c>
      <c r="F2" s="5">
        <f>IF(ISNUMBER($E2),ROUND($C2-$E2,2),"")</f>
      </c>
      <c r="G2" s="5">
        <f>IF(ISNUMBER($F2),COUNTIFS($A$2:$A$501,$A2,$F$2:$F$501,"&gt;"&amp;$F2)+1,"")</f>
      </c>
    </row>
    <row r="3">
      <c r="A3" s="6"/>
      <c r="D3" s="5">
        <f>IF(OR($A3="",$B3="",$C3=""),"",COUNTIFS($B$2:$B$501,$B3,$C$2:$C$501,"&lt;&gt;",$A$2:$A$501,"&lt;"&amp;$A3)+COUNTIFS($B$1:$B2,$B3,$C$1:$C2,"&lt;&gt;",$A$1:$A2,$A3)+1)</f>
      </c>
      <c r="E3" s="5">
        <f>IF($D3="","",IF(OR($D3=1,AND(Settings!$B$4="Yes",$D3&lt;=Settings!$B$2)),IF(COUNTIFS(Players!$A$2:$A$101,$B3,Players!$B$2:$B$101,"&lt;&gt;")=0,"Add a starting quota",ROUND(SUMIFS(Players!$B$2:$B$101,Players!$A$2:$A$101,$B3),Settings!$B$3)),ROUND(SUMIFS($C$2:$C$501,$B$2:$B$501,$B3,$D$2:$D$501,"&gt;="&amp;($D3-Settings!$B$2),$D$2:$D$501,"&lt;"&amp;$D3)/COUNTIFS($B$2:$B$501,$B3,$D$2:$D$501,"&gt;="&amp;($D3-Settings!$B$2),$D$2:$D$501,"&lt;"&amp;$D3),Settings!$B$3)))</f>
      </c>
      <c r="F3" s="5">
        <f>IF(ISNUMBER($E3),ROUND($C3-$E3,2),"")</f>
      </c>
      <c r="G3" s="5">
        <f>IF(ISNUMBER($F3),COUNTIFS($A$2:$A$501,$A3,$F$2:$F$501,"&gt;"&amp;$F3)+1,"")</f>
      </c>
    </row>
    <row r="4">
      <c r="A4" s="6"/>
      <c r="D4" s="5">
        <f>IF(OR($A4="",$B4="",$C4=""),"",COUNTIFS($B$2:$B$501,$B4,$C$2:$C$501,"&lt;&gt;",$A$2:$A$501,"&lt;"&amp;$A4)+COUNTIFS($B$1:$B3,$B4,$C$1:$C3,"&lt;&gt;",$A$1:$A3,$A4)+1)</f>
      </c>
      <c r="E4" s="5">
        <f>IF($D4="","",IF(OR($D4=1,AND(Settings!$B$4="Yes",$D4&lt;=Settings!$B$2)),IF(COUNTIFS(Players!$A$2:$A$101,$B4,Players!$B$2:$B$101,"&lt;&gt;")=0,"Add a starting quota",ROUND(SUMIFS(Players!$B$2:$B$101,Players!$A$2:$A$101,$B4),Settings!$B$3)),ROUND(SUMIFS($C$2:$C$501,$B$2:$B$501,$B4,$D$2:$D$501,"&gt;="&amp;($D4-Settings!$B$2),$D$2:$D$501,"&lt;"&amp;$D4)/COUNTIFS($B$2:$B$501,$B4,$D$2:$D$501,"&gt;="&amp;($D4-Settings!$B$2),$D$2:$D$501,"&lt;"&amp;$D4),Settings!$B$3)))</f>
      </c>
      <c r="F4" s="5">
        <f>IF(ISNUMBER($E4),ROUND($C4-$E4,2),"")</f>
      </c>
      <c r="G4" s="5">
        <f>IF(ISNUMBER($F4),COUNTIFS($A$2:$A$501,$A4,$F$2:$F$501,"&gt;"&amp;$F4)+1,"")</f>
      </c>
    </row>
    <row r="5">
      <c r="A5" s="6"/>
      <c r="D5" s="5">
        <f>IF(OR($A5="",$B5="",$C5=""),"",COUNTIFS($B$2:$B$501,$B5,$C$2:$C$501,"&lt;&gt;",$A$2:$A$501,"&lt;"&amp;$A5)+COUNTIFS($B$1:$B4,$B5,$C$1:$C4,"&lt;&gt;",$A$1:$A4,$A5)+1)</f>
      </c>
      <c r="E5" s="5">
        <f>IF($D5="","",IF(OR($D5=1,AND(Settings!$B$4="Yes",$D5&lt;=Settings!$B$2)),IF(COUNTIFS(Players!$A$2:$A$101,$B5,Players!$B$2:$B$101,"&lt;&gt;")=0,"Add a starting quota",ROUND(SUMIFS(Players!$B$2:$B$101,Players!$A$2:$A$101,$B5),Settings!$B$3)),ROUND(SUMIFS($C$2:$C$501,$B$2:$B$501,$B5,$D$2:$D$501,"&gt;="&amp;($D5-Settings!$B$2),$D$2:$D$501,"&lt;"&amp;$D5)/COUNTIFS($B$2:$B$501,$B5,$D$2:$D$501,"&gt;="&amp;($D5-Settings!$B$2),$D$2:$D$501,"&lt;"&amp;$D5),Settings!$B$3)))</f>
      </c>
      <c r="F5" s="5">
        <f>IF(ISNUMBER($E5),ROUND($C5-$E5,2),"")</f>
      </c>
      <c r="G5" s="5">
        <f>IF(ISNUMBER($F5),COUNTIFS($A$2:$A$501,$A5,$F$2:$F$501,"&gt;"&amp;$F5)+1,"")</f>
      </c>
    </row>
    <row r="6">
      <c r="A6" s="6"/>
      <c r="D6" s="5">
        <f>IF(OR($A6="",$B6="",$C6=""),"",COUNTIFS($B$2:$B$501,$B6,$C$2:$C$501,"&lt;&gt;",$A$2:$A$501,"&lt;"&amp;$A6)+COUNTIFS($B$1:$B5,$B6,$C$1:$C5,"&lt;&gt;",$A$1:$A5,$A6)+1)</f>
      </c>
      <c r="E6" s="5">
        <f>IF($D6="","",IF(OR($D6=1,AND(Settings!$B$4="Yes",$D6&lt;=Settings!$B$2)),IF(COUNTIFS(Players!$A$2:$A$101,$B6,Players!$B$2:$B$101,"&lt;&gt;")=0,"Add a starting quota",ROUND(SUMIFS(Players!$B$2:$B$101,Players!$A$2:$A$101,$B6),Settings!$B$3)),ROUND(SUMIFS($C$2:$C$501,$B$2:$B$501,$B6,$D$2:$D$501,"&gt;="&amp;($D6-Settings!$B$2),$D$2:$D$501,"&lt;"&amp;$D6)/COUNTIFS($B$2:$B$501,$B6,$D$2:$D$501,"&gt;="&amp;($D6-Settings!$B$2),$D$2:$D$501,"&lt;"&amp;$D6),Settings!$B$3)))</f>
      </c>
      <c r="F6" s="5">
        <f>IF(ISNUMBER($E6),ROUND($C6-$E6,2),"")</f>
      </c>
      <c r="G6" s="5">
        <f>IF(ISNUMBER($F6),COUNTIFS($A$2:$A$501,$A6,$F$2:$F$501,"&gt;"&amp;$F6)+1,"")</f>
      </c>
    </row>
    <row r="7">
      <c r="A7" s="6"/>
      <c r="D7" s="5">
        <f>IF(OR($A7="",$B7="",$C7=""),"",COUNTIFS($B$2:$B$501,$B7,$C$2:$C$501,"&lt;&gt;",$A$2:$A$501,"&lt;"&amp;$A7)+COUNTIFS($B$1:$B6,$B7,$C$1:$C6,"&lt;&gt;",$A$1:$A6,$A7)+1)</f>
      </c>
      <c r="E7" s="5">
        <f>IF($D7="","",IF(OR($D7=1,AND(Settings!$B$4="Yes",$D7&lt;=Settings!$B$2)),IF(COUNTIFS(Players!$A$2:$A$101,$B7,Players!$B$2:$B$101,"&lt;&gt;")=0,"Add a starting quota",ROUND(SUMIFS(Players!$B$2:$B$101,Players!$A$2:$A$101,$B7),Settings!$B$3)),ROUND(SUMIFS($C$2:$C$501,$B$2:$B$501,$B7,$D$2:$D$501,"&gt;="&amp;($D7-Settings!$B$2),$D$2:$D$501,"&lt;"&amp;$D7)/COUNTIFS($B$2:$B$501,$B7,$D$2:$D$501,"&gt;="&amp;($D7-Settings!$B$2),$D$2:$D$501,"&lt;"&amp;$D7),Settings!$B$3)))</f>
      </c>
      <c r="F7" s="5">
        <f>IF(ISNUMBER($E7),ROUND($C7-$E7,2),"")</f>
      </c>
      <c r="G7" s="5">
        <f>IF(ISNUMBER($F7),COUNTIFS($A$2:$A$501,$A7,$F$2:$F$501,"&gt;"&amp;$F7)+1,"")</f>
      </c>
    </row>
    <row r="8">
      <c r="A8" s="6"/>
      <c r="D8" s="5">
        <f>IF(OR($A8="",$B8="",$C8=""),"",COUNTIFS($B$2:$B$501,$B8,$C$2:$C$501,"&lt;&gt;",$A$2:$A$501,"&lt;"&amp;$A8)+COUNTIFS($B$1:$B7,$B8,$C$1:$C7,"&lt;&gt;",$A$1:$A7,$A8)+1)</f>
      </c>
      <c r="E8" s="5">
        <f>IF($D8="","",IF(OR($D8=1,AND(Settings!$B$4="Yes",$D8&lt;=Settings!$B$2)),IF(COUNTIFS(Players!$A$2:$A$101,$B8,Players!$B$2:$B$101,"&lt;&gt;")=0,"Add a starting quota",ROUND(SUMIFS(Players!$B$2:$B$101,Players!$A$2:$A$101,$B8),Settings!$B$3)),ROUND(SUMIFS($C$2:$C$501,$B$2:$B$501,$B8,$D$2:$D$501,"&gt;="&amp;($D8-Settings!$B$2),$D$2:$D$501,"&lt;"&amp;$D8)/COUNTIFS($B$2:$B$501,$B8,$D$2:$D$501,"&gt;="&amp;($D8-Settings!$B$2),$D$2:$D$501,"&lt;"&amp;$D8),Settings!$B$3)))</f>
      </c>
      <c r="F8" s="5">
        <f>IF(ISNUMBER($E8),ROUND($C8-$E8,2),"")</f>
      </c>
      <c r="G8" s="5">
        <f>IF(ISNUMBER($F8),COUNTIFS($A$2:$A$501,$A8,$F$2:$F$501,"&gt;"&amp;$F8)+1,"")</f>
      </c>
    </row>
    <row r="9">
      <c r="A9" s="6"/>
      <c r="D9" s="5">
        <f>IF(OR($A9="",$B9="",$C9=""),"",COUNTIFS($B$2:$B$501,$B9,$C$2:$C$501,"&lt;&gt;",$A$2:$A$501,"&lt;"&amp;$A9)+COUNTIFS($B$1:$B8,$B9,$C$1:$C8,"&lt;&gt;",$A$1:$A8,$A9)+1)</f>
      </c>
      <c r="E9" s="5">
        <f>IF($D9="","",IF(OR($D9=1,AND(Settings!$B$4="Yes",$D9&lt;=Settings!$B$2)),IF(COUNTIFS(Players!$A$2:$A$101,$B9,Players!$B$2:$B$101,"&lt;&gt;")=0,"Add a starting quota",ROUND(SUMIFS(Players!$B$2:$B$101,Players!$A$2:$A$101,$B9),Settings!$B$3)),ROUND(SUMIFS($C$2:$C$501,$B$2:$B$501,$B9,$D$2:$D$501,"&gt;="&amp;($D9-Settings!$B$2),$D$2:$D$501,"&lt;"&amp;$D9)/COUNTIFS($B$2:$B$501,$B9,$D$2:$D$501,"&gt;="&amp;($D9-Settings!$B$2),$D$2:$D$501,"&lt;"&amp;$D9),Settings!$B$3)))</f>
      </c>
      <c r="F9" s="5">
        <f>IF(ISNUMBER($E9),ROUND($C9-$E9,2),"")</f>
      </c>
      <c r="G9" s="5">
        <f>IF(ISNUMBER($F9),COUNTIFS($A$2:$A$501,$A9,$F$2:$F$501,"&gt;"&amp;$F9)+1,"")</f>
      </c>
    </row>
    <row r="10">
      <c r="A10" s="6"/>
      <c r="D10" s="5">
        <f>IF(OR($A10="",$B10="",$C10=""),"",COUNTIFS($B$2:$B$501,$B10,$C$2:$C$501,"&lt;&gt;",$A$2:$A$501,"&lt;"&amp;$A10)+COUNTIFS($B$1:$B9,$B10,$C$1:$C9,"&lt;&gt;",$A$1:$A9,$A10)+1)</f>
      </c>
      <c r="E10" s="5">
        <f>IF($D10="","",IF(OR($D10=1,AND(Settings!$B$4="Yes",$D10&lt;=Settings!$B$2)),IF(COUNTIFS(Players!$A$2:$A$101,$B10,Players!$B$2:$B$101,"&lt;&gt;")=0,"Add a starting quota",ROUND(SUMIFS(Players!$B$2:$B$101,Players!$A$2:$A$101,$B10),Settings!$B$3)),ROUND(SUMIFS($C$2:$C$501,$B$2:$B$501,$B10,$D$2:$D$501,"&gt;="&amp;($D10-Settings!$B$2),$D$2:$D$501,"&lt;"&amp;$D10)/COUNTIFS($B$2:$B$501,$B10,$D$2:$D$501,"&gt;="&amp;($D10-Settings!$B$2),$D$2:$D$501,"&lt;"&amp;$D10),Settings!$B$3)))</f>
      </c>
      <c r="F10" s="5">
        <f>IF(ISNUMBER($E10),ROUND($C10-$E10,2),"")</f>
      </c>
      <c r="G10" s="5">
        <f>IF(ISNUMBER($F10),COUNTIFS($A$2:$A$501,$A10,$F$2:$F$501,"&gt;"&amp;$F10)+1,"")</f>
      </c>
    </row>
    <row r="11">
      <c r="A11" s="6"/>
      <c r="D11" s="5">
        <f>IF(OR($A11="",$B11="",$C11=""),"",COUNTIFS($B$2:$B$501,$B11,$C$2:$C$501,"&lt;&gt;",$A$2:$A$501,"&lt;"&amp;$A11)+COUNTIFS($B$1:$B10,$B11,$C$1:$C10,"&lt;&gt;",$A$1:$A10,$A11)+1)</f>
      </c>
      <c r="E11" s="5">
        <f>IF($D11="","",IF(OR($D11=1,AND(Settings!$B$4="Yes",$D11&lt;=Settings!$B$2)),IF(COUNTIFS(Players!$A$2:$A$101,$B11,Players!$B$2:$B$101,"&lt;&gt;")=0,"Add a starting quota",ROUND(SUMIFS(Players!$B$2:$B$101,Players!$A$2:$A$101,$B11),Settings!$B$3)),ROUND(SUMIFS($C$2:$C$501,$B$2:$B$501,$B11,$D$2:$D$501,"&gt;="&amp;($D11-Settings!$B$2),$D$2:$D$501,"&lt;"&amp;$D11)/COUNTIFS($B$2:$B$501,$B11,$D$2:$D$501,"&gt;="&amp;($D11-Settings!$B$2),$D$2:$D$501,"&lt;"&amp;$D11),Settings!$B$3)))</f>
      </c>
      <c r="F11" s="5">
        <f>IF(ISNUMBER($E11),ROUND($C11-$E11,2),"")</f>
      </c>
      <c r="G11" s="5">
        <f>IF(ISNUMBER($F11),COUNTIFS($A$2:$A$501,$A11,$F$2:$F$501,"&gt;"&amp;$F11)+1,"")</f>
      </c>
    </row>
    <row r="12">
      <c r="A12" s="6"/>
      <c r="D12" s="5">
        <f>IF(OR($A12="",$B12="",$C12=""),"",COUNTIFS($B$2:$B$501,$B12,$C$2:$C$501,"&lt;&gt;",$A$2:$A$501,"&lt;"&amp;$A12)+COUNTIFS($B$1:$B11,$B12,$C$1:$C11,"&lt;&gt;",$A$1:$A11,$A12)+1)</f>
      </c>
      <c r="E12" s="5">
        <f>IF($D12="","",IF(OR($D12=1,AND(Settings!$B$4="Yes",$D12&lt;=Settings!$B$2)),IF(COUNTIFS(Players!$A$2:$A$101,$B12,Players!$B$2:$B$101,"&lt;&gt;")=0,"Add a starting quota",ROUND(SUMIFS(Players!$B$2:$B$101,Players!$A$2:$A$101,$B12),Settings!$B$3)),ROUND(SUMIFS($C$2:$C$501,$B$2:$B$501,$B12,$D$2:$D$501,"&gt;="&amp;($D12-Settings!$B$2),$D$2:$D$501,"&lt;"&amp;$D12)/COUNTIFS($B$2:$B$501,$B12,$D$2:$D$501,"&gt;="&amp;($D12-Settings!$B$2),$D$2:$D$501,"&lt;"&amp;$D12),Settings!$B$3)))</f>
      </c>
      <c r="F12" s="5">
        <f>IF(ISNUMBER($E12),ROUND($C12-$E12,2),"")</f>
      </c>
      <c r="G12" s="5">
        <f>IF(ISNUMBER($F12),COUNTIFS($A$2:$A$501,$A12,$F$2:$F$501,"&gt;"&amp;$F12)+1,"")</f>
      </c>
    </row>
    <row r="13">
      <c r="A13" s="6"/>
      <c r="D13" s="5">
        <f>IF(OR($A13="",$B13="",$C13=""),"",COUNTIFS($B$2:$B$501,$B13,$C$2:$C$501,"&lt;&gt;",$A$2:$A$501,"&lt;"&amp;$A13)+COUNTIFS($B$1:$B12,$B13,$C$1:$C12,"&lt;&gt;",$A$1:$A12,$A13)+1)</f>
      </c>
      <c r="E13" s="5">
        <f>IF($D13="","",IF(OR($D13=1,AND(Settings!$B$4="Yes",$D13&lt;=Settings!$B$2)),IF(COUNTIFS(Players!$A$2:$A$101,$B13,Players!$B$2:$B$101,"&lt;&gt;")=0,"Add a starting quota",ROUND(SUMIFS(Players!$B$2:$B$101,Players!$A$2:$A$101,$B13),Settings!$B$3)),ROUND(SUMIFS($C$2:$C$501,$B$2:$B$501,$B13,$D$2:$D$501,"&gt;="&amp;($D13-Settings!$B$2),$D$2:$D$501,"&lt;"&amp;$D13)/COUNTIFS($B$2:$B$501,$B13,$D$2:$D$501,"&gt;="&amp;($D13-Settings!$B$2),$D$2:$D$501,"&lt;"&amp;$D13),Settings!$B$3)))</f>
      </c>
      <c r="F13" s="5">
        <f>IF(ISNUMBER($E13),ROUND($C13-$E13,2),"")</f>
      </c>
      <c r="G13" s="5">
        <f>IF(ISNUMBER($F13),COUNTIFS($A$2:$A$501,$A13,$F$2:$F$501,"&gt;"&amp;$F13)+1,"")</f>
      </c>
    </row>
    <row r="14">
      <c r="A14" s="6"/>
      <c r="D14" s="5">
        <f>IF(OR($A14="",$B14="",$C14=""),"",COUNTIFS($B$2:$B$501,$B14,$C$2:$C$501,"&lt;&gt;",$A$2:$A$501,"&lt;"&amp;$A14)+COUNTIFS($B$1:$B13,$B14,$C$1:$C13,"&lt;&gt;",$A$1:$A13,$A14)+1)</f>
      </c>
      <c r="E14" s="5">
        <f>IF($D14="","",IF(OR($D14=1,AND(Settings!$B$4="Yes",$D14&lt;=Settings!$B$2)),IF(COUNTIFS(Players!$A$2:$A$101,$B14,Players!$B$2:$B$101,"&lt;&gt;")=0,"Add a starting quota",ROUND(SUMIFS(Players!$B$2:$B$101,Players!$A$2:$A$101,$B14),Settings!$B$3)),ROUND(SUMIFS($C$2:$C$501,$B$2:$B$501,$B14,$D$2:$D$501,"&gt;="&amp;($D14-Settings!$B$2),$D$2:$D$501,"&lt;"&amp;$D14)/COUNTIFS($B$2:$B$501,$B14,$D$2:$D$501,"&gt;="&amp;($D14-Settings!$B$2),$D$2:$D$501,"&lt;"&amp;$D14),Settings!$B$3)))</f>
      </c>
      <c r="F14" s="5">
        <f>IF(ISNUMBER($E14),ROUND($C14-$E14,2),"")</f>
      </c>
      <c r="G14" s="5">
        <f>IF(ISNUMBER($F14),COUNTIFS($A$2:$A$501,$A14,$F$2:$F$501,"&gt;"&amp;$F14)+1,"")</f>
      </c>
    </row>
    <row r="15">
      <c r="A15" s="6"/>
      <c r="D15" s="5">
        <f>IF(OR($A15="",$B15="",$C15=""),"",COUNTIFS($B$2:$B$501,$B15,$C$2:$C$501,"&lt;&gt;",$A$2:$A$501,"&lt;"&amp;$A15)+COUNTIFS($B$1:$B14,$B15,$C$1:$C14,"&lt;&gt;",$A$1:$A14,$A15)+1)</f>
      </c>
      <c r="E15" s="5">
        <f>IF($D15="","",IF(OR($D15=1,AND(Settings!$B$4="Yes",$D15&lt;=Settings!$B$2)),IF(COUNTIFS(Players!$A$2:$A$101,$B15,Players!$B$2:$B$101,"&lt;&gt;")=0,"Add a starting quota",ROUND(SUMIFS(Players!$B$2:$B$101,Players!$A$2:$A$101,$B15),Settings!$B$3)),ROUND(SUMIFS($C$2:$C$501,$B$2:$B$501,$B15,$D$2:$D$501,"&gt;="&amp;($D15-Settings!$B$2),$D$2:$D$501,"&lt;"&amp;$D15)/COUNTIFS($B$2:$B$501,$B15,$D$2:$D$501,"&gt;="&amp;($D15-Settings!$B$2),$D$2:$D$501,"&lt;"&amp;$D15),Settings!$B$3)))</f>
      </c>
      <c r="F15" s="5">
        <f>IF(ISNUMBER($E15),ROUND($C15-$E15,2),"")</f>
      </c>
      <c r="G15" s="5">
        <f>IF(ISNUMBER($F15),COUNTIFS($A$2:$A$501,$A15,$F$2:$F$501,"&gt;"&amp;$F15)+1,"")</f>
      </c>
    </row>
    <row r="16">
      <c r="A16" s="6"/>
      <c r="D16" s="5">
        <f>IF(OR($A16="",$B16="",$C16=""),"",COUNTIFS($B$2:$B$501,$B16,$C$2:$C$501,"&lt;&gt;",$A$2:$A$501,"&lt;"&amp;$A16)+COUNTIFS($B$1:$B15,$B16,$C$1:$C15,"&lt;&gt;",$A$1:$A15,$A16)+1)</f>
      </c>
      <c r="E16" s="5">
        <f>IF($D16="","",IF(OR($D16=1,AND(Settings!$B$4="Yes",$D16&lt;=Settings!$B$2)),IF(COUNTIFS(Players!$A$2:$A$101,$B16,Players!$B$2:$B$101,"&lt;&gt;")=0,"Add a starting quota",ROUND(SUMIFS(Players!$B$2:$B$101,Players!$A$2:$A$101,$B16),Settings!$B$3)),ROUND(SUMIFS($C$2:$C$501,$B$2:$B$501,$B16,$D$2:$D$501,"&gt;="&amp;($D16-Settings!$B$2),$D$2:$D$501,"&lt;"&amp;$D16)/COUNTIFS($B$2:$B$501,$B16,$D$2:$D$501,"&gt;="&amp;($D16-Settings!$B$2),$D$2:$D$501,"&lt;"&amp;$D16),Settings!$B$3)))</f>
      </c>
      <c r="F16" s="5">
        <f>IF(ISNUMBER($E16),ROUND($C16-$E16,2),"")</f>
      </c>
      <c r="G16" s="5">
        <f>IF(ISNUMBER($F16),COUNTIFS($A$2:$A$501,$A16,$F$2:$F$501,"&gt;"&amp;$F16)+1,"")</f>
      </c>
    </row>
    <row r="17">
      <c r="A17" s="6"/>
      <c r="D17" s="5">
        <f>IF(OR($A17="",$B17="",$C17=""),"",COUNTIFS($B$2:$B$501,$B17,$C$2:$C$501,"&lt;&gt;",$A$2:$A$501,"&lt;"&amp;$A17)+COUNTIFS($B$1:$B16,$B17,$C$1:$C16,"&lt;&gt;",$A$1:$A16,$A17)+1)</f>
      </c>
      <c r="E17" s="5">
        <f>IF($D17="","",IF(OR($D17=1,AND(Settings!$B$4="Yes",$D17&lt;=Settings!$B$2)),IF(COUNTIFS(Players!$A$2:$A$101,$B17,Players!$B$2:$B$101,"&lt;&gt;")=0,"Add a starting quota",ROUND(SUMIFS(Players!$B$2:$B$101,Players!$A$2:$A$101,$B17),Settings!$B$3)),ROUND(SUMIFS($C$2:$C$501,$B$2:$B$501,$B17,$D$2:$D$501,"&gt;="&amp;($D17-Settings!$B$2),$D$2:$D$501,"&lt;"&amp;$D17)/COUNTIFS($B$2:$B$501,$B17,$D$2:$D$501,"&gt;="&amp;($D17-Settings!$B$2),$D$2:$D$501,"&lt;"&amp;$D17),Settings!$B$3)))</f>
      </c>
      <c r="F17" s="5">
        <f>IF(ISNUMBER($E17),ROUND($C17-$E17,2),"")</f>
      </c>
      <c r="G17" s="5">
        <f>IF(ISNUMBER($F17),COUNTIFS($A$2:$A$501,$A17,$F$2:$F$501,"&gt;"&amp;$F17)+1,"")</f>
      </c>
    </row>
    <row r="18">
      <c r="A18" s="6"/>
      <c r="D18" s="5">
        <f>IF(OR($A18="",$B18="",$C18=""),"",COUNTIFS($B$2:$B$501,$B18,$C$2:$C$501,"&lt;&gt;",$A$2:$A$501,"&lt;"&amp;$A18)+COUNTIFS($B$1:$B17,$B18,$C$1:$C17,"&lt;&gt;",$A$1:$A17,$A18)+1)</f>
      </c>
      <c r="E18" s="5">
        <f>IF($D18="","",IF(OR($D18=1,AND(Settings!$B$4="Yes",$D18&lt;=Settings!$B$2)),IF(COUNTIFS(Players!$A$2:$A$101,$B18,Players!$B$2:$B$101,"&lt;&gt;")=0,"Add a starting quota",ROUND(SUMIFS(Players!$B$2:$B$101,Players!$A$2:$A$101,$B18),Settings!$B$3)),ROUND(SUMIFS($C$2:$C$501,$B$2:$B$501,$B18,$D$2:$D$501,"&gt;="&amp;($D18-Settings!$B$2),$D$2:$D$501,"&lt;"&amp;$D18)/COUNTIFS($B$2:$B$501,$B18,$D$2:$D$501,"&gt;="&amp;($D18-Settings!$B$2),$D$2:$D$501,"&lt;"&amp;$D18),Settings!$B$3)))</f>
      </c>
      <c r="F18" s="5">
        <f>IF(ISNUMBER($E18),ROUND($C18-$E18,2),"")</f>
      </c>
      <c r="G18" s="5">
        <f>IF(ISNUMBER($F18),COUNTIFS($A$2:$A$501,$A18,$F$2:$F$501,"&gt;"&amp;$F18)+1,"")</f>
      </c>
    </row>
    <row r="19">
      <c r="A19" s="6"/>
      <c r="D19" s="5">
        <f>IF(OR($A19="",$B19="",$C19=""),"",COUNTIFS($B$2:$B$501,$B19,$C$2:$C$501,"&lt;&gt;",$A$2:$A$501,"&lt;"&amp;$A19)+COUNTIFS($B$1:$B18,$B19,$C$1:$C18,"&lt;&gt;",$A$1:$A18,$A19)+1)</f>
      </c>
      <c r="E19" s="5">
        <f>IF($D19="","",IF(OR($D19=1,AND(Settings!$B$4="Yes",$D19&lt;=Settings!$B$2)),IF(COUNTIFS(Players!$A$2:$A$101,$B19,Players!$B$2:$B$101,"&lt;&gt;")=0,"Add a starting quota",ROUND(SUMIFS(Players!$B$2:$B$101,Players!$A$2:$A$101,$B19),Settings!$B$3)),ROUND(SUMIFS($C$2:$C$501,$B$2:$B$501,$B19,$D$2:$D$501,"&gt;="&amp;($D19-Settings!$B$2),$D$2:$D$501,"&lt;"&amp;$D19)/COUNTIFS($B$2:$B$501,$B19,$D$2:$D$501,"&gt;="&amp;($D19-Settings!$B$2),$D$2:$D$501,"&lt;"&amp;$D19),Settings!$B$3)))</f>
      </c>
      <c r="F19" s="5">
        <f>IF(ISNUMBER($E19),ROUND($C19-$E19,2),"")</f>
      </c>
      <c r="G19" s="5">
        <f>IF(ISNUMBER($F19),COUNTIFS($A$2:$A$501,$A19,$F$2:$F$501,"&gt;"&amp;$F19)+1,"")</f>
      </c>
    </row>
    <row r="20">
      <c r="A20" s="6"/>
      <c r="D20" s="5">
        <f>IF(OR($A20="",$B20="",$C20=""),"",COUNTIFS($B$2:$B$501,$B20,$C$2:$C$501,"&lt;&gt;",$A$2:$A$501,"&lt;"&amp;$A20)+COUNTIFS($B$1:$B19,$B20,$C$1:$C19,"&lt;&gt;",$A$1:$A19,$A20)+1)</f>
      </c>
      <c r="E20" s="5">
        <f>IF($D20="","",IF(OR($D20=1,AND(Settings!$B$4="Yes",$D20&lt;=Settings!$B$2)),IF(COUNTIFS(Players!$A$2:$A$101,$B20,Players!$B$2:$B$101,"&lt;&gt;")=0,"Add a starting quota",ROUND(SUMIFS(Players!$B$2:$B$101,Players!$A$2:$A$101,$B20),Settings!$B$3)),ROUND(SUMIFS($C$2:$C$501,$B$2:$B$501,$B20,$D$2:$D$501,"&gt;="&amp;($D20-Settings!$B$2),$D$2:$D$501,"&lt;"&amp;$D20)/COUNTIFS($B$2:$B$501,$B20,$D$2:$D$501,"&gt;="&amp;($D20-Settings!$B$2),$D$2:$D$501,"&lt;"&amp;$D20),Settings!$B$3)))</f>
      </c>
      <c r="F20" s="5">
        <f>IF(ISNUMBER($E20),ROUND($C20-$E20,2),"")</f>
      </c>
      <c r="G20" s="5">
        <f>IF(ISNUMBER($F20),COUNTIFS($A$2:$A$501,$A20,$F$2:$F$501,"&gt;"&amp;$F20)+1,"")</f>
      </c>
    </row>
    <row r="21">
      <c r="A21" s="6"/>
      <c r="D21" s="5">
        <f>IF(OR($A21="",$B21="",$C21=""),"",COUNTIFS($B$2:$B$501,$B21,$C$2:$C$501,"&lt;&gt;",$A$2:$A$501,"&lt;"&amp;$A21)+COUNTIFS($B$1:$B20,$B21,$C$1:$C20,"&lt;&gt;",$A$1:$A20,$A21)+1)</f>
      </c>
      <c r="E21" s="5">
        <f>IF($D21="","",IF(OR($D21=1,AND(Settings!$B$4="Yes",$D21&lt;=Settings!$B$2)),IF(COUNTIFS(Players!$A$2:$A$101,$B21,Players!$B$2:$B$101,"&lt;&gt;")=0,"Add a starting quota",ROUND(SUMIFS(Players!$B$2:$B$101,Players!$A$2:$A$101,$B21),Settings!$B$3)),ROUND(SUMIFS($C$2:$C$501,$B$2:$B$501,$B21,$D$2:$D$501,"&gt;="&amp;($D21-Settings!$B$2),$D$2:$D$501,"&lt;"&amp;$D21)/COUNTIFS($B$2:$B$501,$B21,$D$2:$D$501,"&gt;="&amp;($D21-Settings!$B$2),$D$2:$D$501,"&lt;"&amp;$D21),Settings!$B$3)))</f>
      </c>
      <c r="F21" s="5">
        <f>IF(ISNUMBER($E21),ROUND($C21-$E21,2),"")</f>
      </c>
      <c r="G21" s="5">
        <f>IF(ISNUMBER($F21),COUNTIFS($A$2:$A$501,$A21,$F$2:$F$501,"&gt;"&amp;$F21)+1,"")</f>
      </c>
    </row>
    <row r="22">
      <c r="A22" s="6"/>
      <c r="D22" s="5">
        <f>IF(OR($A22="",$B22="",$C22=""),"",COUNTIFS($B$2:$B$501,$B22,$C$2:$C$501,"&lt;&gt;",$A$2:$A$501,"&lt;"&amp;$A22)+COUNTIFS($B$1:$B21,$B22,$C$1:$C21,"&lt;&gt;",$A$1:$A21,$A22)+1)</f>
      </c>
      <c r="E22" s="5">
        <f>IF($D22="","",IF(OR($D22=1,AND(Settings!$B$4="Yes",$D22&lt;=Settings!$B$2)),IF(COUNTIFS(Players!$A$2:$A$101,$B22,Players!$B$2:$B$101,"&lt;&gt;")=0,"Add a starting quota",ROUND(SUMIFS(Players!$B$2:$B$101,Players!$A$2:$A$101,$B22),Settings!$B$3)),ROUND(SUMIFS($C$2:$C$501,$B$2:$B$501,$B22,$D$2:$D$501,"&gt;="&amp;($D22-Settings!$B$2),$D$2:$D$501,"&lt;"&amp;$D22)/COUNTIFS($B$2:$B$501,$B22,$D$2:$D$501,"&gt;="&amp;($D22-Settings!$B$2),$D$2:$D$501,"&lt;"&amp;$D22),Settings!$B$3)))</f>
      </c>
      <c r="F22" s="5">
        <f>IF(ISNUMBER($E22),ROUND($C22-$E22,2),"")</f>
      </c>
      <c r="G22" s="5">
        <f>IF(ISNUMBER($F22),COUNTIFS($A$2:$A$501,$A22,$F$2:$F$501,"&gt;"&amp;$F22)+1,"")</f>
      </c>
    </row>
    <row r="23">
      <c r="A23" s="6"/>
      <c r="D23" s="5">
        <f>IF(OR($A23="",$B23="",$C23=""),"",COUNTIFS($B$2:$B$501,$B23,$C$2:$C$501,"&lt;&gt;",$A$2:$A$501,"&lt;"&amp;$A23)+COUNTIFS($B$1:$B22,$B23,$C$1:$C22,"&lt;&gt;",$A$1:$A22,$A23)+1)</f>
      </c>
      <c r="E23" s="5">
        <f>IF($D23="","",IF(OR($D23=1,AND(Settings!$B$4="Yes",$D23&lt;=Settings!$B$2)),IF(COUNTIFS(Players!$A$2:$A$101,$B23,Players!$B$2:$B$101,"&lt;&gt;")=0,"Add a starting quota",ROUND(SUMIFS(Players!$B$2:$B$101,Players!$A$2:$A$101,$B23),Settings!$B$3)),ROUND(SUMIFS($C$2:$C$501,$B$2:$B$501,$B23,$D$2:$D$501,"&gt;="&amp;($D23-Settings!$B$2),$D$2:$D$501,"&lt;"&amp;$D23)/COUNTIFS($B$2:$B$501,$B23,$D$2:$D$501,"&gt;="&amp;($D23-Settings!$B$2),$D$2:$D$501,"&lt;"&amp;$D23),Settings!$B$3)))</f>
      </c>
      <c r="F23" s="5">
        <f>IF(ISNUMBER($E23),ROUND($C23-$E23,2),"")</f>
      </c>
      <c r="G23" s="5">
        <f>IF(ISNUMBER($F23),COUNTIFS($A$2:$A$501,$A23,$F$2:$F$501,"&gt;"&amp;$F23)+1,"")</f>
      </c>
    </row>
    <row r="24">
      <c r="A24" s="6"/>
      <c r="D24" s="5">
        <f>IF(OR($A24="",$B24="",$C24=""),"",COUNTIFS($B$2:$B$501,$B24,$C$2:$C$501,"&lt;&gt;",$A$2:$A$501,"&lt;"&amp;$A24)+COUNTIFS($B$1:$B23,$B24,$C$1:$C23,"&lt;&gt;",$A$1:$A23,$A24)+1)</f>
      </c>
      <c r="E24" s="5">
        <f>IF($D24="","",IF(OR($D24=1,AND(Settings!$B$4="Yes",$D24&lt;=Settings!$B$2)),IF(COUNTIFS(Players!$A$2:$A$101,$B24,Players!$B$2:$B$101,"&lt;&gt;")=0,"Add a starting quota",ROUND(SUMIFS(Players!$B$2:$B$101,Players!$A$2:$A$101,$B24),Settings!$B$3)),ROUND(SUMIFS($C$2:$C$501,$B$2:$B$501,$B24,$D$2:$D$501,"&gt;="&amp;($D24-Settings!$B$2),$D$2:$D$501,"&lt;"&amp;$D24)/COUNTIFS($B$2:$B$501,$B24,$D$2:$D$501,"&gt;="&amp;($D24-Settings!$B$2),$D$2:$D$501,"&lt;"&amp;$D24),Settings!$B$3)))</f>
      </c>
      <c r="F24" s="5">
        <f>IF(ISNUMBER($E24),ROUND($C24-$E24,2),"")</f>
      </c>
      <c r="G24" s="5">
        <f>IF(ISNUMBER($F24),COUNTIFS($A$2:$A$501,$A24,$F$2:$F$501,"&gt;"&amp;$F24)+1,"")</f>
      </c>
    </row>
    <row r="25">
      <c r="A25" s="6"/>
      <c r="D25" s="5">
        <f>IF(OR($A25="",$B25="",$C25=""),"",COUNTIFS($B$2:$B$501,$B25,$C$2:$C$501,"&lt;&gt;",$A$2:$A$501,"&lt;"&amp;$A25)+COUNTIFS($B$1:$B24,$B25,$C$1:$C24,"&lt;&gt;",$A$1:$A24,$A25)+1)</f>
      </c>
      <c r="E25" s="5">
        <f>IF($D25="","",IF(OR($D25=1,AND(Settings!$B$4="Yes",$D25&lt;=Settings!$B$2)),IF(COUNTIFS(Players!$A$2:$A$101,$B25,Players!$B$2:$B$101,"&lt;&gt;")=0,"Add a starting quota",ROUND(SUMIFS(Players!$B$2:$B$101,Players!$A$2:$A$101,$B25),Settings!$B$3)),ROUND(SUMIFS($C$2:$C$501,$B$2:$B$501,$B25,$D$2:$D$501,"&gt;="&amp;($D25-Settings!$B$2),$D$2:$D$501,"&lt;"&amp;$D25)/COUNTIFS($B$2:$B$501,$B25,$D$2:$D$501,"&gt;="&amp;($D25-Settings!$B$2),$D$2:$D$501,"&lt;"&amp;$D25),Settings!$B$3)))</f>
      </c>
      <c r="F25" s="5">
        <f>IF(ISNUMBER($E25),ROUND($C25-$E25,2),"")</f>
      </c>
      <c r="G25" s="5">
        <f>IF(ISNUMBER($F25),COUNTIFS($A$2:$A$501,$A25,$F$2:$F$501,"&gt;"&amp;$F25)+1,"")</f>
      </c>
    </row>
    <row r="26">
      <c r="A26" s="6"/>
      <c r="D26" s="5">
        <f>IF(OR($A26="",$B26="",$C26=""),"",COUNTIFS($B$2:$B$501,$B26,$C$2:$C$501,"&lt;&gt;",$A$2:$A$501,"&lt;"&amp;$A26)+COUNTIFS($B$1:$B25,$B26,$C$1:$C25,"&lt;&gt;",$A$1:$A25,$A26)+1)</f>
      </c>
      <c r="E26" s="5">
        <f>IF($D26="","",IF(OR($D26=1,AND(Settings!$B$4="Yes",$D26&lt;=Settings!$B$2)),IF(COUNTIFS(Players!$A$2:$A$101,$B26,Players!$B$2:$B$101,"&lt;&gt;")=0,"Add a starting quota",ROUND(SUMIFS(Players!$B$2:$B$101,Players!$A$2:$A$101,$B26),Settings!$B$3)),ROUND(SUMIFS($C$2:$C$501,$B$2:$B$501,$B26,$D$2:$D$501,"&gt;="&amp;($D26-Settings!$B$2),$D$2:$D$501,"&lt;"&amp;$D26)/COUNTIFS($B$2:$B$501,$B26,$D$2:$D$501,"&gt;="&amp;($D26-Settings!$B$2),$D$2:$D$501,"&lt;"&amp;$D26),Settings!$B$3)))</f>
      </c>
      <c r="F26" s="5">
        <f>IF(ISNUMBER($E26),ROUND($C26-$E26,2),"")</f>
      </c>
      <c r="G26" s="5">
        <f>IF(ISNUMBER($F26),COUNTIFS($A$2:$A$501,$A26,$F$2:$F$501,"&gt;"&amp;$F26)+1,"")</f>
      </c>
    </row>
    <row r="27">
      <c r="A27" s="6"/>
      <c r="D27" s="5">
        <f>IF(OR($A27="",$B27="",$C27=""),"",COUNTIFS($B$2:$B$501,$B27,$C$2:$C$501,"&lt;&gt;",$A$2:$A$501,"&lt;"&amp;$A27)+COUNTIFS($B$1:$B26,$B27,$C$1:$C26,"&lt;&gt;",$A$1:$A26,$A27)+1)</f>
      </c>
      <c r="E27" s="5">
        <f>IF($D27="","",IF(OR($D27=1,AND(Settings!$B$4="Yes",$D27&lt;=Settings!$B$2)),IF(COUNTIFS(Players!$A$2:$A$101,$B27,Players!$B$2:$B$101,"&lt;&gt;")=0,"Add a starting quota",ROUND(SUMIFS(Players!$B$2:$B$101,Players!$A$2:$A$101,$B27),Settings!$B$3)),ROUND(SUMIFS($C$2:$C$501,$B$2:$B$501,$B27,$D$2:$D$501,"&gt;="&amp;($D27-Settings!$B$2),$D$2:$D$501,"&lt;"&amp;$D27)/COUNTIFS($B$2:$B$501,$B27,$D$2:$D$501,"&gt;="&amp;($D27-Settings!$B$2),$D$2:$D$501,"&lt;"&amp;$D27),Settings!$B$3)))</f>
      </c>
      <c r="F27" s="5">
        <f>IF(ISNUMBER($E27),ROUND($C27-$E27,2),"")</f>
      </c>
      <c r="G27" s="5">
        <f>IF(ISNUMBER($F27),COUNTIFS($A$2:$A$501,$A27,$F$2:$F$501,"&gt;"&amp;$F27)+1,"")</f>
      </c>
    </row>
    <row r="28">
      <c r="A28" s="6"/>
      <c r="D28" s="5">
        <f>IF(OR($A28="",$B28="",$C28=""),"",COUNTIFS($B$2:$B$501,$B28,$C$2:$C$501,"&lt;&gt;",$A$2:$A$501,"&lt;"&amp;$A28)+COUNTIFS($B$1:$B27,$B28,$C$1:$C27,"&lt;&gt;",$A$1:$A27,$A28)+1)</f>
      </c>
      <c r="E28" s="5">
        <f>IF($D28="","",IF(OR($D28=1,AND(Settings!$B$4="Yes",$D28&lt;=Settings!$B$2)),IF(COUNTIFS(Players!$A$2:$A$101,$B28,Players!$B$2:$B$101,"&lt;&gt;")=0,"Add a starting quota",ROUND(SUMIFS(Players!$B$2:$B$101,Players!$A$2:$A$101,$B28),Settings!$B$3)),ROUND(SUMIFS($C$2:$C$501,$B$2:$B$501,$B28,$D$2:$D$501,"&gt;="&amp;($D28-Settings!$B$2),$D$2:$D$501,"&lt;"&amp;$D28)/COUNTIFS($B$2:$B$501,$B28,$D$2:$D$501,"&gt;="&amp;($D28-Settings!$B$2),$D$2:$D$501,"&lt;"&amp;$D28),Settings!$B$3)))</f>
      </c>
      <c r="F28" s="5">
        <f>IF(ISNUMBER($E28),ROUND($C28-$E28,2),"")</f>
      </c>
      <c r="G28" s="5">
        <f>IF(ISNUMBER($F28),COUNTIFS($A$2:$A$501,$A28,$F$2:$F$501,"&gt;"&amp;$F28)+1,"")</f>
      </c>
    </row>
    <row r="29">
      <c r="A29" s="6"/>
      <c r="D29" s="5">
        <f>IF(OR($A29="",$B29="",$C29=""),"",COUNTIFS($B$2:$B$501,$B29,$C$2:$C$501,"&lt;&gt;",$A$2:$A$501,"&lt;"&amp;$A29)+COUNTIFS($B$1:$B28,$B29,$C$1:$C28,"&lt;&gt;",$A$1:$A28,$A29)+1)</f>
      </c>
      <c r="E29" s="5">
        <f>IF($D29="","",IF(OR($D29=1,AND(Settings!$B$4="Yes",$D29&lt;=Settings!$B$2)),IF(COUNTIFS(Players!$A$2:$A$101,$B29,Players!$B$2:$B$101,"&lt;&gt;")=0,"Add a starting quota",ROUND(SUMIFS(Players!$B$2:$B$101,Players!$A$2:$A$101,$B29),Settings!$B$3)),ROUND(SUMIFS($C$2:$C$501,$B$2:$B$501,$B29,$D$2:$D$501,"&gt;="&amp;($D29-Settings!$B$2),$D$2:$D$501,"&lt;"&amp;$D29)/COUNTIFS($B$2:$B$501,$B29,$D$2:$D$501,"&gt;="&amp;($D29-Settings!$B$2),$D$2:$D$501,"&lt;"&amp;$D29),Settings!$B$3)))</f>
      </c>
      <c r="F29" s="5">
        <f>IF(ISNUMBER($E29),ROUND($C29-$E29,2),"")</f>
      </c>
      <c r="G29" s="5">
        <f>IF(ISNUMBER($F29),COUNTIFS($A$2:$A$501,$A29,$F$2:$F$501,"&gt;"&amp;$F29)+1,"")</f>
      </c>
    </row>
    <row r="30">
      <c r="A30" s="6"/>
      <c r="D30" s="5">
        <f>IF(OR($A30="",$B30="",$C30=""),"",COUNTIFS($B$2:$B$501,$B30,$C$2:$C$501,"&lt;&gt;",$A$2:$A$501,"&lt;"&amp;$A30)+COUNTIFS($B$1:$B29,$B30,$C$1:$C29,"&lt;&gt;",$A$1:$A29,$A30)+1)</f>
      </c>
      <c r="E30" s="5">
        <f>IF($D30="","",IF(OR($D30=1,AND(Settings!$B$4="Yes",$D30&lt;=Settings!$B$2)),IF(COUNTIFS(Players!$A$2:$A$101,$B30,Players!$B$2:$B$101,"&lt;&gt;")=0,"Add a starting quota",ROUND(SUMIFS(Players!$B$2:$B$101,Players!$A$2:$A$101,$B30),Settings!$B$3)),ROUND(SUMIFS($C$2:$C$501,$B$2:$B$501,$B30,$D$2:$D$501,"&gt;="&amp;($D30-Settings!$B$2),$D$2:$D$501,"&lt;"&amp;$D30)/COUNTIFS($B$2:$B$501,$B30,$D$2:$D$501,"&gt;="&amp;($D30-Settings!$B$2),$D$2:$D$501,"&lt;"&amp;$D30),Settings!$B$3)))</f>
      </c>
      <c r="F30" s="5">
        <f>IF(ISNUMBER($E30),ROUND($C30-$E30,2),"")</f>
      </c>
      <c r="G30" s="5">
        <f>IF(ISNUMBER($F30),COUNTIFS($A$2:$A$501,$A30,$F$2:$F$501,"&gt;"&amp;$F30)+1,"")</f>
      </c>
    </row>
    <row r="31">
      <c r="A31" s="6"/>
      <c r="D31" s="5">
        <f>IF(OR($A31="",$B31="",$C31=""),"",COUNTIFS($B$2:$B$501,$B31,$C$2:$C$501,"&lt;&gt;",$A$2:$A$501,"&lt;"&amp;$A31)+COUNTIFS($B$1:$B30,$B31,$C$1:$C30,"&lt;&gt;",$A$1:$A30,$A31)+1)</f>
      </c>
      <c r="E31" s="5">
        <f>IF($D31="","",IF(OR($D31=1,AND(Settings!$B$4="Yes",$D31&lt;=Settings!$B$2)),IF(COUNTIFS(Players!$A$2:$A$101,$B31,Players!$B$2:$B$101,"&lt;&gt;")=0,"Add a starting quota",ROUND(SUMIFS(Players!$B$2:$B$101,Players!$A$2:$A$101,$B31),Settings!$B$3)),ROUND(SUMIFS($C$2:$C$501,$B$2:$B$501,$B31,$D$2:$D$501,"&gt;="&amp;($D31-Settings!$B$2),$D$2:$D$501,"&lt;"&amp;$D31)/COUNTIFS($B$2:$B$501,$B31,$D$2:$D$501,"&gt;="&amp;($D31-Settings!$B$2),$D$2:$D$501,"&lt;"&amp;$D31),Settings!$B$3)))</f>
      </c>
      <c r="F31" s="5">
        <f>IF(ISNUMBER($E31),ROUND($C31-$E31,2),"")</f>
      </c>
      <c r="G31" s="5">
        <f>IF(ISNUMBER($F31),COUNTIFS($A$2:$A$501,$A31,$F$2:$F$501,"&gt;"&amp;$F31)+1,"")</f>
      </c>
    </row>
    <row r="32">
      <c r="A32" s="6"/>
      <c r="D32" s="5">
        <f>IF(OR($A32="",$B32="",$C32=""),"",COUNTIFS($B$2:$B$501,$B32,$C$2:$C$501,"&lt;&gt;",$A$2:$A$501,"&lt;"&amp;$A32)+COUNTIFS($B$1:$B31,$B32,$C$1:$C31,"&lt;&gt;",$A$1:$A31,$A32)+1)</f>
      </c>
      <c r="E32" s="5">
        <f>IF($D32="","",IF(OR($D32=1,AND(Settings!$B$4="Yes",$D32&lt;=Settings!$B$2)),IF(COUNTIFS(Players!$A$2:$A$101,$B32,Players!$B$2:$B$101,"&lt;&gt;")=0,"Add a starting quota",ROUND(SUMIFS(Players!$B$2:$B$101,Players!$A$2:$A$101,$B32),Settings!$B$3)),ROUND(SUMIFS($C$2:$C$501,$B$2:$B$501,$B32,$D$2:$D$501,"&gt;="&amp;($D32-Settings!$B$2),$D$2:$D$501,"&lt;"&amp;$D32)/COUNTIFS($B$2:$B$501,$B32,$D$2:$D$501,"&gt;="&amp;($D32-Settings!$B$2),$D$2:$D$501,"&lt;"&amp;$D32),Settings!$B$3)))</f>
      </c>
      <c r="F32" s="5">
        <f>IF(ISNUMBER($E32),ROUND($C32-$E32,2),"")</f>
      </c>
      <c r="G32" s="5">
        <f>IF(ISNUMBER($F32),COUNTIFS($A$2:$A$501,$A32,$F$2:$F$501,"&gt;"&amp;$F32)+1,"")</f>
      </c>
    </row>
    <row r="33">
      <c r="A33" s="6"/>
      <c r="D33" s="5">
        <f>IF(OR($A33="",$B33="",$C33=""),"",COUNTIFS($B$2:$B$501,$B33,$C$2:$C$501,"&lt;&gt;",$A$2:$A$501,"&lt;"&amp;$A33)+COUNTIFS($B$1:$B32,$B33,$C$1:$C32,"&lt;&gt;",$A$1:$A32,$A33)+1)</f>
      </c>
      <c r="E33" s="5">
        <f>IF($D33="","",IF(OR($D33=1,AND(Settings!$B$4="Yes",$D33&lt;=Settings!$B$2)),IF(COUNTIFS(Players!$A$2:$A$101,$B33,Players!$B$2:$B$101,"&lt;&gt;")=0,"Add a starting quota",ROUND(SUMIFS(Players!$B$2:$B$101,Players!$A$2:$A$101,$B33),Settings!$B$3)),ROUND(SUMIFS($C$2:$C$501,$B$2:$B$501,$B33,$D$2:$D$501,"&gt;="&amp;($D33-Settings!$B$2),$D$2:$D$501,"&lt;"&amp;$D33)/COUNTIFS($B$2:$B$501,$B33,$D$2:$D$501,"&gt;="&amp;($D33-Settings!$B$2),$D$2:$D$501,"&lt;"&amp;$D33),Settings!$B$3)))</f>
      </c>
      <c r="F33" s="5">
        <f>IF(ISNUMBER($E33),ROUND($C33-$E33,2),"")</f>
      </c>
      <c r="G33" s="5">
        <f>IF(ISNUMBER($F33),COUNTIFS($A$2:$A$501,$A33,$F$2:$F$501,"&gt;"&amp;$F33)+1,"")</f>
      </c>
    </row>
    <row r="34">
      <c r="A34" s="6"/>
      <c r="D34" s="5">
        <f>IF(OR($A34="",$B34="",$C34=""),"",COUNTIFS($B$2:$B$501,$B34,$C$2:$C$501,"&lt;&gt;",$A$2:$A$501,"&lt;"&amp;$A34)+COUNTIFS($B$1:$B33,$B34,$C$1:$C33,"&lt;&gt;",$A$1:$A33,$A34)+1)</f>
      </c>
      <c r="E34" s="5">
        <f>IF($D34="","",IF(OR($D34=1,AND(Settings!$B$4="Yes",$D34&lt;=Settings!$B$2)),IF(COUNTIFS(Players!$A$2:$A$101,$B34,Players!$B$2:$B$101,"&lt;&gt;")=0,"Add a starting quota",ROUND(SUMIFS(Players!$B$2:$B$101,Players!$A$2:$A$101,$B34),Settings!$B$3)),ROUND(SUMIFS($C$2:$C$501,$B$2:$B$501,$B34,$D$2:$D$501,"&gt;="&amp;($D34-Settings!$B$2),$D$2:$D$501,"&lt;"&amp;$D34)/COUNTIFS($B$2:$B$501,$B34,$D$2:$D$501,"&gt;="&amp;($D34-Settings!$B$2),$D$2:$D$501,"&lt;"&amp;$D34),Settings!$B$3)))</f>
      </c>
      <c r="F34" s="5">
        <f>IF(ISNUMBER($E34),ROUND($C34-$E34,2),"")</f>
      </c>
      <c r="G34" s="5">
        <f>IF(ISNUMBER($F34),COUNTIFS($A$2:$A$501,$A34,$F$2:$F$501,"&gt;"&amp;$F34)+1,"")</f>
      </c>
    </row>
    <row r="35">
      <c r="A35" s="6"/>
      <c r="D35" s="5">
        <f>IF(OR($A35="",$B35="",$C35=""),"",COUNTIFS($B$2:$B$501,$B35,$C$2:$C$501,"&lt;&gt;",$A$2:$A$501,"&lt;"&amp;$A35)+COUNTIFS($B$1:$B34,$B35,$C$1:$C34,"&lt;&gt;",$A$1:$A34,$A35)+1)</f>
      </c>
      <c r="E35" s="5">
        <f>IF($D35="","",IF(OR($D35=1,AND(Settings!$B$4="Yes",$D35&lt;=Settings!$B$2)),IF(COUNTIFS(Players!$A$2:$A$101,$B35,Players!$B$2:$B$101,"&lt;&gt;")=0,"Add a starting quota",ROUND(SUMIFS(Players!$B$2:$B$101,Players!$A$2:$A$101,$B35),Settings!$B$3)),ROUND(SUMIFS($C$2:$C$501,$B$2:$B$501,$B35,$D$2:$D$501,"&gt;="&amp;($D35-Settings!$B$2),$D$2:$D$501,"&lt;"&amp;$D35)/COUNTIFS($B$2:$B$501,$B35,$D$2:$D$501,"&gt;="&amp;($D35-Settings!$B$2),$D$2:$D$501,"&lt;"&amp;$D35),Settings!$B$3)))</f>
      </c>
      <c r="F35" s="5">
        <f>IF(ISNUMBER($E35),ROUND($C35-$E35,2),"")</f>
      </c>
      <c r="G35" s="5">
        <f>IF(ISNUMBER($F35),COUNTIFS($A$2:$A$501,$A35,$F$2:$F$501,"&gt;"&amp;$F35)+1,"")</f>
      </c>
    </row>
    <row r="36">
      <c r="A36" s="6"/>
      <c r="D36" s="5">
        <f>IF(OR($A36="",$B36="",$C36=""),"",COUNTIFS($B$2:$B$501,$B36,$C$2:$C$501,"&lt;&gt;",$A$2:$A$501,"&lt;"&amp;$A36)+COUNTIFS($B$1:$B35,$B36,$C$1:$C35,"&lt;&gt;",$A$1:$A35,$A36)+1)</f>
      </c>
      <c r="E36" s="5">
        <f>IF($D36="","",IF(OR($D36=1,AND(Settings!$B$4="Yes",$D36&lt;=Settings!$B$2)),IF(COUNTIFS(Players!$A$2:$A$101,$B36,Players!$B$2:$B$101,"&lt;&gt;")=0,"Add a starting quota",ROUND(SUMIFS(Players!$B$2:$B$101,Players!$A$2:$A$101,$B36),Settings!$B$3)),ROUND(SUMIFS($C$2:$C$501,$B$2:$B$501,$B36,$D$2:$D$501,"&gt;="&amp;($D36-Settings!$B$2),$D$2:$D$501,"&lt;"&amp;$D36)/COUNTIFS($B$2:$B$501,$B36,$D$2:$D$501,"&gt;="&amp;($D36-Settings!$B$2),$D$2:$D$501,"&lt;"&amp;$D36),Settings!$B$3)))</f>
      </c>
      <c r="F36" s="5">
        <f>IF(ISNUMBER($E36),ROUND($C36-$E36,2),"")</f>
      </c>
      <c r="G36" s="5">
        <f>IF(ISNUMBER($F36),COUNTIFS($A$2:$A$501,$A36,$F$2:$F$501,"&gt;"&amp;$F36)+1,"")</f>
      </c>
    </row>
    <row r="37">
      <c r="A37" s="6"/>
      <c r="D37" s="5">
        <f>IF(OR($A37="",$B37="",$C37=""),"",COUNTIFS($B$2:$B$501,$B37,$C$2:$C$501,"&lt;&gt;",$A$2:$A$501,"&lt;"&amp;$A37)+COUNTIFS($B$1:$B36,$B37,$C$1:$C36,"&lt;&gt;",$A$1:$A36,$A37)+1)</f>
      </c>
      <c r="E37" s="5">
        <f>IF($D37="","",IF(OR($D37=1,AND(Settings!$B$4="Yes",$D37&lt;=Settings!$B$2)),IF(COUNTIFS(Players!$A$2:$A$101,$B37,Players!$B$2:$B$101,"&lt;&gt;")=0,"Add a starting quota",ROUND(SUMIFS(Players!$B$2:$B$101,Players!$A$2:$A$101,$B37),Settings!$B$3)),ROUND(SUMIFS($C$2:$C$501,$B$2:$B$501,$B37,$D$2:$D$501,"&gt;="&amp;($D37-Settings!$B$2),$D$2:$D$501,"&lt;"&amp;$D37)/COUNTIFS($B$2:$B$501,$B37,$D$2:$D$501,"&gt;="&amp;($D37-Settings!$B$2),$D$2:$D$501,"&lt;"&amp;$D37),Settings!$B$3)))</f>
      </c>
      <c r="F37" s="5">
        <f>IF(ISNUMBER($E37),ROUND($C37-$E37,2),"")</f>
      </c>
      <c r="G37" s="5">
        <f>IF(ISNUMBER($F37),COUNTIFS($A$2:$A$501,$A37,$F$2:$F$501,"&gt;"&amp;$F37)+1,"")</f>
      </c>
    </row>
    <row r="38">
      <c r="A38" s="6"/>
      <c r="D38" s="5">
        <f>IF(OR($A38="",$B38="",$C38=""),"",COUNTIFS($B$2:$B$501,$B38,$C$2:$C$501,"&lt;&gt;",$A$2:$A$501,"&lt;"&amp;$A38)+COUNTIFS($B$1:$B37,$B38,$C$1:$C37,"&lt;&gt;",$A$1:$A37,$A38)+1)</f>
      </c>
      <c r="E38" s="5">
        <f>IF($D38="","",IF(OR($D38=1,AND(Settings!$B$4="Yes",$D38&lt;=Settings!$B$2)),IF(COUNTIFS(Players!$A$2:$A$101,$B38,Players!$B$2:$B$101,"&lt;&gt;")=0,"Add a starting quota",ROUND(SUMIFS(Players!$B$2:$B$101,Players!$A$2:$A$101,$B38),Settings!$B$3)),ROUND(SUMIFS($C$2:$C$501,$B$2:$B$501,$B38,$D$2:$D$501,"&gt;="&amp;($D38-Settings!$B$2),$D$2:$D$501,"&lt;"&amp;$D38)/COUNTIFS($B$2:$B$501,$B38,$D$2:$D$501,"&gt;="&amp;($D38-Settings!$B$2),$D$2:$D$501,"&lt;"&amp;$D38),Settings!$B$3)))</f>
      </c>
      <c r="F38" s="5">
        <f>IF(ISNUMBER($E38),ROUND($C38-$E38,2),"")</f>
      </c>
      <c r="G38" s="5">
        <f>IF(ISNUMBER($F38),COUNTIFS($A$2:$A$501,$A38,$F$2:$F$501,"&gt;"&amp;$F38)+1,"")</f>
      </c>
    </row>
    <row r="39">
      <c r="A39" s="6"/>
      <c r="D39" s="5">
        <f>IF(OR($A39="",$B39="",$C39=""),"",COUNTIFS($B$2:$B$501,$B39,$C$2:$C$501,"&lt;&gt;",$A$2:$A$501,"&lt;"&amp;$A39)+COUNTIFS($B$1:$B38,$B39,$C$1:$C38,"&lt;&gt;",$A$1:$A38,$A39)+1)</f>
      </c>
      <c r="E39" s="5">
        <f>IF($D39="","",IF(OR($D39=1,AND(Settings!$B$4="Yes",$D39&lt;=Settings!$B$2)),IF(COUNTIFS(Players!$A$2:$A$101,$B39,Players!$B$2:$B$101,"&lt;&gt;")=0,"Add a starting quota",ROUND(SUMIFS(Players!$B$2:$B$101,Players!$A$2:$A$101,$B39),Settings!$B$3)),ROUND(SUMIFS($C$2:$C$501,$B$2:$B$501,$B39,$D$2:$D$501,"&gt;="&amp;($D39-Settings!$B$2),$D$2:$D$501,"&lt;"&amp;$D39)/COUNTIFS($B$2:$B$501,$B39,$D$2:$D$501,"&gt;="&amp;($D39-Settings!$B$2),$D$2:$D$501,"&lt;"&amp;$D39),Settings!$B$3)))</f>
      </c>
      <c r="F39" s="5">
        <f>IF(ISNUMBER($E39),ROUND($C39-$E39,2),"")</f>
      </c>
      <c r="G39" s="5">
        <f>IF(ISNUMBER($F39),COUNTIFS($A$2:$A$501,$A39,$F$2:$F$501,"&gt;"&amp;$F39)+1,"")</f>
      </c>
    </row>
    <row r="40">
      <c r="A40" s="6"/>
      <c r="D40" s="5">
        <f>IF(OR($A40="",$B40="",$C40=""),"",COUNTIFS($B$2:$B$501,$B40,$C$2:$C$501,"&lt;&gt;",$A$2:$A$501,"&lt;"&amp;$A40)+COUNTIFS($B$1:$B39,$B40,$C$1:$C39,"&lt;&gt;",$A$1:$A39,$A40)+1)</f>
      </c>
      <c r="E40" s="5">
        <f>IF($D40="","",IF(OR($D40=1,AND(Settings!$B$4="Yes",$D40&lt;=Settings!$B$2)),IF(COUNTIFS(Players!$A$2:$A$101,$B40,Players!$B$2:$B$101,"&lt;&gt;")=0,"Add a starting quota",ROUND(SUMIFS(Players!$B$2:$B$101,Players!$A$2:$A$101,$B40),Settings!$B$3)),ROUND(SUMIFS($C$2:$C$501,$B$2:$B$501,$B40,$D$2:$D$501,"&gt;="&amp;($D40-Settings!$B$2),$D$2:$D$501,"&lt;"&amp;$D40)/COUNTIFS($B$2:$B$501,$B40,$D$2:$D$501,"&gt;="&amp;($D40-Settings!$B$2),$D$2:$D$501,"&lt;"&amp;$D40),Settings!$B$3)))</f>
      </c>
      <c r="F40" s="5">
        <f>IF(ISNUMBER($E40),ROUND($C40-$E40,2),"")</f>
      </c>
      <c r="G40" s="5">
        <f>IF(ISNUMBER($F40),COUNTIFS($A$2:$A$501,$A40,$F$2:$F$501,"&gt;"&amp;$F40)+1,"")</f>
      </c>
    </row>
    <row r="41">
      <c r="A41" s="6"/>
      <c r="D41" s="5">
        <f>IF(OR($A41="",$B41="",$C41=""),"",COUNTIFS($B$2:$B$501,$B41,$C$2:$C$501,"&lt;&gt;",$A$2:$A$501,"&lt;"&amp;$A41)+COUNTIFS($B$1:$B40,$B41,$C$1:$C40,"&lt;&gt;",$A$1:$A40,$A41)+1)</f>
      </c>
      <c r="E41" s="5">
        <f>IF($D41="","",IF(OR($D41=1,AND(Settings!$B$4="Yes",$D41&lt;=Settings!$B$2)),IF(COUNTIFS(Players!$A$2:$A$101,$B41,Players!$B$2:$B$101,"&lt;&gt;")=0,"Add a starting quota",ROUND(SUMIFS(Players!$B$2:$B$101,Players!$A$2:$A$101,$B41),Settings!$B$3)),ROUND(SUMIFS($C$2:$C$501,$B$2:$B$501,$B41,$D$2:$D$501,"&gt;="&amp;($D41-Settings!$B$2),$D$2:$D$501,"&lt;"&amp;$D41)/COUNTIFS($B$2:$B$501,$B41,$D$2:$D$501,"&gt;="&amp;($D41-Settings!$B$2),$D$2:$D$501,"&lt;"&amp;$D41),Settings!$B$3)))</f>
      </c>
      <c r="F41" s="5">
        <f>IF(ISNUMBER($E41),ROUND($C41-$E41,2),"")</f>
      </c>
      <c r="G41" s="5">
        <f>IF(ISNUMBER($F41),COUNTIFS($A$2:$A$501,$A41,$F$2:$F$501,"&gt;"&amp;$F41)+1,"")</f>
      </c>
    </row>
    <row r="42">
      <c r="A42" s="6"/>
      <c r="D42" s="5">
        <f>IF(OR($A42="",$B42="",$C42=""),"",COUNTIFS($B$2:$B$501,$B42,$C$2:$C$501,"&lt;&gt;",$A$2:$A$501,"&lt;"&amp;$A42)+COUNTIFS($B$1:$B41,$B42,$C$1:$C41,"&lt;&gt;",$A$1:$A41,$A42)+1)</f>
      </c>
      <c r="E42" s="5">
        <f>IF($D42="","",IF(OR($D42=1,AND(Settings!$B$4="Yes",$D42&lt;=Settings!$B$2)),IF(COUNTIFS(Players!$A$2:$A$101,$B42,Players!$B$2:$B$101,"&lt;&gt;")=0,"Add a starting quota",ROUND(SUMIFS(Players!$B$2:$B$101,Players!$A$2:$A$101,$B42),Settings!$B$3)),ROUND(SUMIFS($C$2:$C$501,$B$2:$B$501,$B42,$D$2:$D$501,"&gt;="&amp;($D42-Settings!$B$2),$D$2:$D$501,"&lt;"&amp;$D42)/COUNTIFS($B$2:$B$501,$B42,$D$2:$D$501,"&gt;="&amp;($D42-Settings!$B$2),$D$2:$D$501,"&lt;"&amp;$D42),Settings!$B$3)))</f>
      </c>
      <c r="F42" s="5">
        <f>IF(ISNUMBER($E42),ROUND($C42-$E42,2),"")</f>
      </c>
      <c r="G42" s="5">
        <f>IF(ISNUMBER($F42),COUNTIFS($A$2:$A$501,$A42,$F$2:$F$501,"&gt;"&amp;$F42)+1,"")</f>
      </c>
    </row>
    <row r="43">
      <c r="A43" s="6"/>
      <c r="D43" s="5">
        <f>IF(OR($A43="",$B43="",$C43=""),"",COUNTIFS($B$2:$B$501,$B43,$C$2:$C$501,"&lt;&gt;",$A$2:$A$501,"&lt;"&amp;$A43)+COUNTIFS($B$1:$B42,$B43,$C$1:$C42,"&lt;&gt;",$A$1:$A42,$A43)+1)</f>
      </c>
      <c r="E43" s="5">
        <f>IF($D43="","",IF(OR($D43=1,AND(Settings!$B$4="Yes",$D43&lt;=Settings!$B$2)),IF(COUNTIFS(Players!$A$2:$A$101,$B43,Players!$B$2:$B$101,"&lt;&gt;")=0,"Add a starting quota",ROUND(SUMIFS(Players!$B$2:$B$101,Players!$A$2:$A$101,$B43),Settings!$B$3)),ROUND(SUMIFS($C$2:$C$501,$B$2:$B$501,$B43,$D$2:$D$501,"&gt;="&amp;($D43-Settings!$B$2),$D$2:$D$501,"&lt;"&amp;$D43)/COUNTIFS($B$2:$B$501,$B43,$D$2:$D$501,"&gt;="&amp;($D43-Settings!$B$2),$D$2:$D$501,"&lt;"&amp;$D43),Settings!$B$3)))</f>
      </c>
      <c r="F43" s="5">
        <f>IF(ISNUMBER($E43),ROUND($C43-$E43,2),"")</f>
      </c>
      <c r="G43" s="5">
        <f>IF(ISNUMBER($F43),COUNTIFS($A$2:$A$501,$A43,$F$2:$F$501,"&gt;"&amp;$F43)+1,"")</f>
      </c>
    </row>
    <row r="44">
      <c r="A44" s="6"/>
      <c r="D44" s="5">
        <f>IF(OR($A44="",$B44="",$C44=""),"",COUNTIFS($B$2:$B$501,$B44,$C$2:$C$501,"&lt;&gt;",$A$2:$A$501,"&lt;"&amp;$A44)+COUNTIFS($B$1:$B43,$B44,$C$1:$C43,"&lt;&gt;",$A$1:$A43,$A44)+1)</f>
      </c>
      <c r="E44" s="5">
        <f>IF($D44="","",IF(OR($D44=1,AND(Settings!$B$4="Yes",$D44&lt;=Settings!$B$2)),IF(COUNTIFS(Players!$A$2:$A$101,$B44,Players!$B$2:$B$101,"&lt;&gt;")=0,"Add a starting quota",ROUND(SUMIFS(Players!$B$2:$B$101,Players!$A$2:$A$101,$B44),Settings!$B$3)),ROUND(SUMIFS($C$2:$C$501,$B$2:$B$501,$B44,$D$2:$D$501,"&gt;="&amp;($D44-Settings!$B$2),$D$2:$D$501,"&lt;"&amp;$D44)/COUNTIFS($B$2:$B$501,$B44,$D$2:$D$501,"&gt;="&amp;($D44-Settings!$B$2),$D$2:$D$501,"&lt;"&amp;$D44),Settings!$B$3)))</f>
      </c>
      <c r="F44" s="5">
        <f>IF(ISNUMBER($E44),ROUND($C44-$E44,2),"")</f>
      </c>
      <c r="G44" s="5">
        <f>IF(ISNUMBER($F44),COUNTIFS($A$2:$A$501,$A44,$F$2:$F$501,"&gt;"&amp;$F44)+1,"")</f>
      </c>
    </row>
    <row r="45">
      <c r="A45" s="6"/>
      <c r="D45" s="5">
        <f>IF(OR($A45="",$B45="",$C45=""),"",COUNTIFS($B$2:$B$501,$B45,$C$2:$C$501,"&lt;&gt;",$A$2:$A$501,"&lt;"&amp;$A45)+COUNTIFS($B$1:$B44,$B45,$C$1:$C44,"&lt;&gt;",$A$1:$A44,$A45)+1)</f>
      </c>
      <c r="E45" s="5">
        <f>IF($D45="","",IF(OR($D45=1,AND(Settings!$B$4="Yes",$D45&lt;=Settings!$B$2)),IF(COUNTIFS(Players!$A$2:$A$101,$B45,Players!$B$2:$B$101,"&lt;&gt;")=0,"Add a starting quota",ROUND(SUMIFS(Players!$B$2:$B$101,Players!$A$2:$A$101,$B45),Settings!$B$3)),ROUND(SUMIFS($C$2:$C$501,$B$2:$B$501,$B45,$D$2:$D$501,"&gt;="&amp;($D45-Settings!$B$2),$D$2:$D$501,"&lt;"&amp;$D45)/COUNTIFS($B$2:$B$501,$B45,$D$2:$D$501,"&gt;="&amp;($D45-Settings!$B$2),$D$2:$D$501,"&lt;"&amp;$D45),Settings!$B$3)))</f>
      </c>
      <c r="F45" s="5">
        <f>IF(ISNUMBER($E45),ROUND($C45-$E45,2),"")</f>
      </c>
      <c r="G45" s="5">
        <f>IF(ISNUMBER($F45),COUNTIFS($A$2:$A$501,$A45,$F$2:$F$501,"&gt;"&amp;$F45)+1,"")</f>
      </c>
    </row>
    <row r="46">
      <c r="A46" s="6"/>
      <c r="D46" s="5">
        <f>IF(OR($A46="",$B46="",$C46=""),"",COUNTIFS($B$2:$B$501,$B46,$C$2:$C$501,"&lt;&gt;",$A$2:$A$501,"&lt;"&amp;$A46)+COUNTIFS($B$1:$B45,$B46,$C$1:$C45,"&lt;&gt;",$A$1:$A45,$A46)+1)</f>
      </c>
      <c r="E46" s="5">
        <f>IF($D46="","",IF(OR($D46=1,AND(Settings!$B$4="Yes",$D46&lt;=Settings!$B$2)),IF(COUNTIFS(Players!$A$2:$A$101,$B46,Players!$B$2:$B$101,"&lt;&gt;")=0,"Add a starting quota",ROUND(SUMIFS(Players!$B$2:$B$101,Players!$A$2:$A$101,$B46),Settings!$B$3)),ROUND(SUMIFS($C$2:$C$501,$B$2:$B$501,$B46,$D$2:$D$501,"&gt;="&amp;($D46-Settings!$B$2),$D$2:$D$501,"&lt;"&amp;$D46)/COUNTIFS($B$2:$B$501,$B46,$D$2:$D$501,"&gt;="&amp;($D46-Settings!$B$2),$D$2:$D$501,"&lt;"&amp;$D46),Settings!$B$3)))</f>
      </c>
      <c r="F46" s="5">
        <f>IF(ISNUMBER($E46),ROUND($C46-$E46,2),"")</f>
      </c>
      <c r="G46" s="5">
        <f>IF(ISNUMBER($F46),COUNTIFS($A$2:$A$501,$A46,$F$2:$F$501,"&gt;"&amp;$F46)+1,"")</f>
      </c>
    </row>
    <row r="47">
      <c r="A47" s="6"/>
      <c r="D47" s="5">
        <f>IF(OR($A47="",$B47="",$C47=""),"",COUNTIFS($B$2:$B$501,$B47,$C$2:$C$501,"&lt;&gt;",$A$2:$A$501,"&lt;"&amp;$A47)+COUNTIFS($B$1:$B46,$B47,$C$1:$C46,"&lt;&gt;",$A$1:$A46,$A47)+1)</f>
      </c>
      <c r="E47" s="5">
        <f>IF($D47="","",IF(OR($D47=1,AND(Settings!$B$4="Yes",$D47&lt;=Settings!$B$2)),IF(COUNTIFS(Players!$A$2:$A$101,$B47,Players!$B$2:$B$101,"&lt;&gt;")=0,"Add a starting quota",ROUND(SUMIFS(Players!$B$2:$B$101,Players!$A$2:$A$101,$B47),Settings!$B$3)),ROUND(SUMIFS($C$2:$C$501,$B$2:$B$501,$B47,$D$2:$D$501,"&gt;="&amp;($D47-Settings!$B$2),$D$2:$D$501,"&lt;"&amp;$D47)/COUNTIFS($B$2:$B$501,$B47,$D$2:$D$501,"&gt;="&amp;($D47-Settings!$B$2),$D$2:$D$501,"&lt;"&amp;$D47),Settings!$B$3)))</f>
      </c>
      <c r="F47" s="5">
        <f>IF(ISNUMBER($E47),ROUND($C47-$E47,2),"")</f>
      </c>
      <c r="G47" s="5">
        <f>IF(ISNUMBER($F47),COUNTIFS($A$2:$A$501,$A47,$F$2:$F$501,"&gt;"&amp;$F47)+1,"")</f>
      </c>
    </row>
    <row r="48">
      <c r="A48" s="6"/>
      <c r="D48" s="5">
        <f>IF(OR($A48="",$B48="",$C48=""),"",COUNTIFS($B$2:$B$501,$B48,$C$2:$C$501,"&lt;&gt;",$A$2:$A$501,"&lt;"&amp;$A48)+COUNTIFS($B$1:$B47,$B48,$C$1:$C47,"&lt;&gt;",$A$1:$A47,$A48)+1)</f>
      </c>
      <c r="E48" s="5">
        <f>IF($D48="","",IF(OR($D48=1,AND(Settings!$B$4="Yes",$D48&lt;=Settings!$B$2)),IF(COUNTIFS(Players!$A$2:$A$101,$B48,Players!$B$2:$B$101,"&lt;&gt;")=0,"Add a starting quota",ROUND(SUMIFS(Players!$B$2:$B$101,Players!$A$2:$A$101,$B48),Settings!$B$3)),ROUND(SUMIFS($C$2:$C$501,$B$2:$B$501,$B48,$D$2:$D$501,"&gt;="&amp;($D48-Settings!$B$2),$D$2:$D$501,"&lt;"&amp;$D48)/COUNTIFS($B$2:$B$501,$B48,$D$2:$D$501,"&gt;="&amp;($D48-Settings!$B$2),$D$2:$D$501,"&lt;"&amp;$D48),Settings!$B$3)))</f>
      </c>
      <c r="F48" s="5">
        <f>IF(ISNUMBER($E48),ROUND($C48-$E48,2),"")</f>
      </c>
      <c r="G48" s="5">
        <f>IF(ISNUMBER($F48),COUNTIFS($A$2:$A$501,$A48,$F$2:$F$501,"&gt;"&amp;$F48)+1,"")</f>
      </c>
    </row>
    <row r="49">
      <c r="A49" s="6"/>
      <c r="D49" s="5">
        <f>IF(OR($A49="",$B49="",$C49=""),"",COUNTIFS($B$2:$B$501,$B49,$C$2:$C$501,"&lt;&gt;",$A$2:$A$501,"&lt;"&amp;$A49)+COUNTIFS($B$1:$B48,$B49,$C$1:$C48,"&lt;&gt;",$A$1:$A48,$A49)+1)</f>
      </c>
      <c r="E49" s="5">
        <f>IF($D49="","",IF(OR($D49=1,AND(Settings!$B$4="Yes",$D49&lt;=Settings!$B$2)),IF(COUNTIFS(Players!$A$2:$A$101,$B49,Players!$B$2:$B$101,"&lt;&gt;")=0,"Add a starting quota",ROUND(SUMIFS(Players!$B$2:$B$101,Players!$A$2:$A$101,$B49),Settings!$B$3)),ROUND(SUMIFS($C$2:$C$501,$B$2:$B$501,$B49,$D$2:$D$501,"&gt;="&amp;($D49-Settings!$B$2),$D$2:$D$501,"&lt;"&amp;$D49)/COUNTIFS($B$2:$B$501,$B49,$D$2:$D$501,"&gt;="&amp;($D49-Settings!$B$2),$D$2:$D$501,"&lt;"&amp;$D49),Settings!$B$3)))</f>
      </c>
      <c r="F49" s="5">
        <f>IF(ISNUMBER($E49),ROUND($C49-$E49,2),"")</f>
      </c>
      <c r="G49" s="5">
        <f>IF(ISNUMBER($F49),COUNTIFS($A$2:$A$501,$A49,$F$2:$F$501,"&gt;"&amp;$F49)+1,"")</f>
      </c>
    </row>
    <row r="50">
      <c r="A50" s="6"/>
      <c r="D50" s="5">
        <f>IF(OR($A50="",$B50="",$C50=""),"",COUNTIFS($B$2:$B$501,$B50,$C$2:$C$501,"&lt;&gt;",$A$2:$A$501,"&lt;"&amp;$A50)+COUNTIFS($B$1:$B49,$B50,$C$1:$C49,"&lt;&gt;",$A$1:$A49,$A50)+1)</f>
      </c>
      <c r="E50" s="5">
        <f>IF($D50="","",IF(OR($D50=1,AND(Settings!$B$4="Yes",$D50&lt;=Settings!$B$2)),IF(COUNTIFS(Players!$A$2:$A$101,$B50,Players!$B$2:$B$101,"&lt;&gt;")=0,"Add a starting quota",ROUND(SUMIFS(Players!$B$2:$B$101,Players!$A$2:$A$101,$B50),Settings!$B$3)),ROUND(SUMIFS($C$2:$C$501,$B$2:$B$501,$B50,$D$2:$D$501,"&gt;="&amp;($D50-Settings!$B$2),$D$2:$D$501,"&lt;"&amp;$D50)/COUNTIFS($B$2:$B$501,$B50,$D$2:$D$501,"&gt;="&amp;($D50-Settings!$B$2),$D$2:$D$501,"&lt;"&amp;$D50),Settings!$B$3)))</f>
      </c>
      <c r="F50" s="5">
        <f>IF(ISNUMBER($E50),ROUND($C50-$E50,2),"")</f>
      </c>
      <c r="G50" s="5">
        <f>IF(ISNUMBER($F50),COUNTIFS($A$2:$A$501,$A50,$F$2:$F$501,"&gt;"&amp;$F50)+1,"")</f>
      </c>
    </row>
    <row r="51">
      <c r="A51" s="6"/>
      <c r="D51" s="5">
        <f>IF(OR($A51="",$B51="",$C51=""),"",COUNTIFS($B$2:$B$501,$B51,$C$2:$C$501,"&lt;&gt;",$A$2:$A$501,"&lt;"&amp;$A51)+COUNTIFS($B$1:$B50,$B51,$C$1:$C50,"&lt;&gt;",$A$1:$A50,$A51)+1)</f>
      </c>
      <c r="E51" s="5">
        <f>IF($D51="","",IF(OR($D51=1,AND(Settings!$B$4="Yes",$D51&lt;=Settings!$B$2)),IF(COUNTIFS(Players!$A$2:$A$101,$B51,Players!$B$2:$B$101,"&lt;&gt;")=0,"Add a starting quota",ROUND(SUMIFS(Players!$B$2:$B$101,Players!$A$2:$A$101,$B51),Settings!$B$3)),ROUND(SUMIFS($C$2:$C$501,$B$2:$B$501,$B51,$D$2:$D$501,"&gt;="&amp;($D51-Settings!$B$2),$D$2:$D$501,"&lt;"&amp;$D51)/COUNTIFS($B$2:$B$501,$B51,$D$2:$D$501,"&gt;="&amp;($D51-Settings!$B$2),$D$2:$D$501,"&lt;"&amp;$D51),Settings!$B$3)))</f>
      </c>
      <c r="F51" s="5">
        <f>IF(ISNUMBER($E51),ROUND($C51-$E51,2),"")</f>
      </c>
      <c r="G51" s="5">
        <f>IF(ISNUMBER($F51),COUNTIFS($A$2:$A$501,$A51,$F$2:$F$501,"&gt;"&amp;$F51)+1,"")</f>
      </c>
    </row>
    <row r="52">
      <c r="A52" s="6"/>
      <c r="D52" s="5">
        <f>IF(OR($A52="",$B52="",$C52=""),"",COUNTIFS($B$2:$B$501,$B52,$C$2:$C$501,"&lt;&gt;",$A$2:$A$501,"&lt;"&amp;$A52)+COUNTIFS($B$1:$B51,$B52,$C$1:$C51,"&lt;&gt;",$A$1:$A51,$A52)+1)</f>
      </c>
      <c r="E52" s="5">
        <f>IF($D52="","",IF(OR($D52=1,AND(Settings!$B$4="Yes",$D52&lt;=Settings!$B$2)),IF(COUNTIFS(Players!$A$2:$A$101,$B52,Players!$B$2:$B$101,"&lt;&gt;")=0,"Add a starting quota",ROUND(SUMIFS(Players!$B$2:$B$101,Players!$A$2:$A$101,$B52),Settings!$B$3)),ROUND(SUMIFS($C$2:$C$501,$B$2:$B$501,$B52,$D$2:$D$501,"&gt;="&amp;($D52-Settings!$B$2),$D$2:$D$501,"&lt;"&amp;$D52)/COUNTIFS($B$2:$B$501,$B52,$D$2:$D$501,"&gt;="&amp;($D52-Settings!$B$2),$D$2:$D$501,"&lt;"&amp;$D52),Settings!$B$3)))</f>
      </c>
      <c r="F52" s="5">
        <f>IF(ISNUMBER($E52),ROUND($C52-$E52,2),"")</f>
      </c>
      <c r="G52" s="5">
        <f>IF(ISNUMBER($F52),COUNTIFS($A$2:$A$501,$A52,$F$2:$F$501,"&gt;"&amp;$F52)+1,"")</f>
      </c>
    </row>
    <row r="53">
      <c r="A53" s="6"/>
      <c r="D53" s="5">
        <f>IF(OR($A53="",$B53="",$C53=""),"",COUNTIFS($B$2:$B$501,$B53,$C$2:$C$501,"&lt;&gt;",$A$2:$A$501,"&lt;"&amp;$A53)+COUNTIFS($B$1:$B52,$B53,$C$1:$C52,"&lt;&gt;",$A$1:$A52,$A53)+1)</f>
      </c>
      <c r="E53" s="5">
        <f>IF($D53="","",IF(OR($D53=1,AND(Settings!$B$4="Yes",$D53&lt;=Settings!$B$2)),IF(COUNTIFS(Players!$A$2:$A$101,$B53,Players!$B$2:$B$101,"&lt;&gt;")=0,"Add a starting quota",ROUND(SUMIFS(Players!$B$2:$B$101,Players!$A$2:$A$101,$B53),Settings!$B$3)),ROUND(SUMIFS($C$2:$C$501,$B$2:$B$501,$B53,$D$2:$D$501,"&gt;="&amp;($D53-Settings!$B$2),$D$2:$D$501,"&lt;"&amp;$D53)/COUNTIFS($B$2:$B$501,$B53,$D$2:$D$501,"&gt;="&amp;($D53-Settings!$B$2),$D$2:$D$501,"&lt;"&amp;$D53),Settings!$B$3)))</f>
      </c>
      <c r="F53" s="5">
        <f>IF(ISNUMBER($E53),ROUND($C53-$E53,2),"")</f>
      </c>
      <c r="G53" s="5">
        <f>IF(ISNUMBER($F53),COUNTIFS($A$2:$A$501,$A53,$F$2:$F$501,"&gt;"&amp;$F53)+1,"")</f>
      </c>
    </row>
    <row r="54">
      <c r="A54" s="6"/>
      <c r="D54" s="5">
        <f>IF(OR($A54="",$B54="",$C54=""),"",COUNTIFS($B$2:$B$501,$B54,$C$2:$C$501,"&lt;&gt;",$A$2:$A$501,"&lt;"&amp;$A54)+COUNTIFS($B$1:$B53,$B54,$C$1:$C53,"&lt;&gt;",$A$1:$A53,$A54)+1)</f>
      </c>
      <c r="E54" s="5">
        <f>IF($D54="","",IF(OR($D54=1,AND(Settings!$B$4="Yes",$D54&lt;=Settings!$B$2)),IF(COUNTIFS(Players!$A$2:$A$101,$B54,Players!$B$2:$B$101,"&lt;&gt;")=0,"Add a starting quota",ROUND(SUMIFS(Players!$B$2:$B$101,Players!$A$2:$A$101,$B54),Settings!$B$3)),ROUND(SUMIFS($C$2:$C$501,$B$2:$B$501,$B54,$D$2:$D$501,"&gt;="&amp;($D54-Settings!$B$2),$D$2:$D$501,"&lt;"&amp;$D54)/COUNTIFS($B$2:$B$501,$B54,$D$2:$D$501,"&gt;="&amp;($D54-Settings!$B$2),$D$2:$D$501,"&lt;"&amp;$D54),Settings!$B$3)))</f>
      </c>
      <c r="F54" s="5">
        <f>IF(ISNUMBER($E54),ROUND($C54-$E54,2),"")</f>
      </c>
      <c r="G54" s="5">
        <f>IF(ISNUMBER($F54),COUNTIFS($A$2:$A$501,$A54,$F$2:$F$501,"&gt;"&amp;$F54)+1,"")</f>
      </c>
    </row>
    <row r="55">
      <c r="A55" s="6"/>
      <c r="D55" s="5">
        <f>IF(OR($A55="",$B55="",$C55=""),"",COUNTIFS($B$2:$B$501,$B55,$C$2:$C$501,"&lt;&gt;",$A$2:$A$501,"&lt;"&amp;$A55)+COUNTIFS($B$1:$B54,$B55,$C$1:$C54,"&lt;&gt;",$A$1:$A54,$A55)+1)</f>
      </c>
      <c r="E55" s="5">
        <f>IF($D55="","",IF(OR($D55=1,AND(Settings!$B$4="Yes",$D55&lt;=Settings!$B$2)),IF(COUNTIFS(Players!$A$2:$A$101,$B55,Players!$B$2:$B$101,"&lt;&gt;")=0,"Add a starting quota",ROUND(SUMIFS(Players!$B$2:$B$101,Players!$A$2:$A$101,$B55),Settings!$B$3)),ROUND(SUMIFS($C$2:$C$501,$B$2:$B$501,$B55,$D$2:$D$501,"&gt;="&amp;($D55-Settings!$B$2),$D$2:$D$501,"&lt;"&amp;$D55)/COUNTIFS($B$2:$B$501,$B55,$D$2:$D$501,"&gt;="&amp;($D55-Settings!$B$2),$D$2:$D$501,"&lt;"&amp;$D55),Settings!$B$3)))</f>
      </c>
      <c r="F55" s="5">
        <f>IF(ISNUMBER($E55),ROUND($C55-$E55,2),"")</f>
      </c>
      <c r="G55" s="5">
        <f>IF(ISNUMBER($F55),COUNTIFS($A$2:$A$501,$A55,$F$2:$F$501,"&gt;"&amp;$F55)+1,"")</f>
      </c>
    </row>
    <row r="56">
      <c r="A56" s="6"/>
      <c r="D56" s="5">
        <f>IF(OR($A56="",$B56="",$C56=""),"",COUNTIFS($B$2:$B$501,$B56,$C$2:$C$501,"&lt;&gt;",$A$2:$A$501,"&lt;"&amp;$A56)+COUNTIFS($B$1:$B55,$B56,$C$1:$C55,"&lt;&gt;",$A$1:$A55,$A56)+1)</f>
      </c>
      <c r="E56" s="5">
        <f>IF($D56="","",IF(OR($D56=1,AND(Settings!$B$4="Yes",$D56&lt;=Settings!$B$2)),IF(COUNTIFS(Players!$A$2:$A$101,$B56,Players!$B$2:$B$101,"&lt;&gt;")=0,"Add a starting quota",ROUND(SUMIFS(Players!$B$2:$B$101,Players!$A$2:$A$101,$B56),Settings!$B$3)),ROUND(SUMIFS($C$2:$C$501,$B$2:$B$501,$B56,$D$2:$D$501,"&gt;="&amp;($D56-Settings!$B$2),$D$2:$D$501,"&lt;"&amp;$D56)/COUNTIFS($B$2:$B$501,$B56,$D$2:$D$501,"&gt;="&amp;($D56-Settings!$B$2),$D$2:$D$501,"&lt;"&amp;$D56),Settings!$B$3)))</f>
      </c>
      <c r="F56" s="5">
        <f>IF(ISNUMBER($E56),ROUND($C56-$E56,2),"")</f>
      </c>
      <c r="G56" s="5">
        <f>IF(ISNUMBER($F56),COUNTIFS($A$2:$A$501,$A56,$F$2:$F$501,"&gt;"&amp;$F56)+1,"")</f>
      </c>
    </row>
    <row r="57">
      <c r="A57" s="6"/>
      <c r="D57" s="5">
        <f>IF(OR($A57="",$B57="",$C57=""),"",COUNTIFS($B$2:$B$501,$B57,$C$2:$C$501,"&lt;&gt;",$A$2:$A$501,"&lt;"&amp;$A57)+COUNTIFS($B$1:$B56,$B57,$C$1:$C56,"&lt;&gt;",$A$1:$A56,$A57)+1)</f>
      </c>
      <c r="E57" s="5">
        <f>IF($D57="","",IF(OR($D57=1,AND(Settings!$B$4="Yes",$D57&lt;=Settings!$B$2)),IF(COUNTIFS(Players!$A$2:$A$101,$B57,Players!$B$2:$B$101,"&lt;&gt;")=0,"Add a starting quota",ROUND(SUMIFS(Players!$B$2:$B$101,Players!$A$2:$A$101,$B57),Settings!$B$3)),ROUND(SUMIFS($C$2:$C$501,$B$2:$B$501,$B57,$D$2:$D$501,"&gt;="&amp;($D57-Settings!$B$2),$D$2:$D$501,"&lt;"&amp;$D57)/COUNTIFS($B$2:$B$501,$B57,$D$2:$D$501,"&gt;="&amp;($D57-Settings!$B$2),$D$2:$D$501,"&lt;"&amp;$D57),Settings!$B$3)))</f>
      </c>
      <c r="F57" s="5">
        <f>IF(ISNUMBER($E57),ROUND($C57-$E57,2),"")</f>
      </c>
      <c r="G57" s="5">
        <f>IF(ISNUMBER($F57),COUNTIFS($A$2:$A$501,$A57,$F$2:$F$501,"&gt;"&amp;$F57)+1,"")</f>
      </c>
    </row>
    <row r="58">
      <c r="A58" s="6"/>
      <c r="D58" s="5">
        <f>IF(OR($A58="",$B58="",$C58=""),"",COUNTIFS($B$2:$B$501,$B58,$C$2:$C$501,"&lt;&gt;",$A$2:$A$501,"&lt;"&amp;$A58)+COUNTIFS($B$1:$B57,$B58,$C$1:$C57,"&lt;&gt;",$A$1:$A57,$A58)+1)</f>
      </c>
      <c r="E58" s="5">
        <f>IF($D58="","",IF(OR($D58=1,AND(Settings!$B$4="Yes",$D58&lt;=Settings!$B$2)),IF(COUNTIFS(Players!$A$2:$A$101,$B58,Players!$B$2:$B$101,"&lt;&gt;")=0,"Add a starting quota",ROUND(SUMIFS(Players!$B$2:$B$101,Players!$A$2:$A$101,$B58),Settings!$B$3)),ROUND(SUMIFS($C$2:$C$501,$B$2:$B$501,$B58,$D$2:$D$501,"&gt;="&amp;($D58-Settings!$B$2),$D$2:$D$501,"&lt;"&amp;$D58)/COUNTIFS($B$2:$B$501,$B58,$D$2:$D$501,"&gt;="&amp;($D58-Settings!$B$2),$D$2:$D$501,"&lt;"&amp;$D58),Settings!$B$3)))</f>
      </c>
      <c r="F58" s="5">
        <f>IF(ISNUMBER($E58),ROUND($C58-$E58,2),"")</f>
      </c>
      <c r="G58" s="5">
        <f>IF(ISNUMBER($F58),COUNTIFS($A$2:$A$501,$A58,$F$2:$F$501,"&gt;"&amp;$F58)+1,"")</f>
      </c>
    </row>
    <row r="59">
      <c r="A59" s="6"/>
      <c r="D59" s="5">
        <f>IF(OR($A59="",$B59="",$C59=""),"",COUNTIFS($B$2:$B$501,$B59,$C$2:$C$501,"&lt;&gt;",$A$2:$A$501,"&lt;"&amp;$A59)+COUNTIFS($B$1:$B58,$B59,$C$1:$C58,"&lt;&gt;",$A$1:$A58,$A59)+1)</f>
      </c>
      <c r="E59" s="5">
        <f>IF($D59="","",IF(OR($D59=1,AND(Settings!$B$4="Yes",$D59&lt;=Settings!$B$2)),IF(COUNTIFS(Players!$A$2:$A$101,$B59,Players!$B$2:$B$101,"&lt;&gt;")=0,"Add a starting quota",ROUND(SUMIFS(Players!$B$2:$B$101,Players!$A$2:$A$101,$B59),Settings!$B$3)),ROUND(SUMIFS($C$2:$C$501,$B$2:$B$501,$B59,$D$2:$D$501,"&gt;="&amp;($D59-Settings!$B$2),$D$2:$D$501,"&lt;"&amp;$D59)/COUNTIFS($B$2:$B$501,$B59,$D$2:$D$501,"&gt;="&amp;($D59-Settings!$B$2),$D$2:$D$501,"&lt;"&amp;$D59),Settings!$B$3)))</f>
      </c>
      <c r="F59" s="5">
        <f>IF(ISNUMBER($E59),ROUND($C59-$E59,2),"")</f>
      </c>
      <c r="G59" s="5">
        <f>IF(ISNUMBER($F59),COUNTIFS($A$2:$A$501,$A59,$F$2:$F$501,"&gt;"&amp;$F59)+1,"")</f>
      </c>
    </row>
    <row r="60">
      <c r="A60" s="6"/>
      <c r="D60" s="5">
        <f>IF(OR($A60="",$B60="",$C60=""),"",COUNTIFS($B$2:$B$501,$B60,$C$2:$C$501,"&lt;&gt;",$A$2:$A$501,"&lt;"&amp;$A60)+COUNTIFS($B$1:$B59,$B60,$C$1:$C59,"&lt;&gt;",$A$1:$A59,$A60)+1)</f>
      </c>
      <c r="E60" s="5">
        <f>IF($D60="","",IF(OR($D60=1,AND(Settings!$B$4="Yes",$D60&lt;=Settings!$B$2)),IF(COUNTIFS(Players!$A$2:$A$101,$B60,Players!$B$2:$B$101,"&lt;&gt;")=0,"Add a starting quota",ROUND(SUMIFS(Players!$B$2:$B$101,Players!$A$2:$A$101,$B60),Settings!$B$3)),ROUND(SUMIFS($C$2:$C$501,$B$2:$B$501,$B60,$D$2:$D$501,"&gt;="&amp;($D60-Settings!$B$2),$D$2:$D$501,"&lt;"&amp;$D60)/COUNTIFS($B$2:$B$501,$B60,$D$2:$D$501,"&gt;="&amp;($D60-Settings!$B$2),$D$2:$D$501,"&lt;"&amp;$D60),Settings!$B$3)))</f>
      </c>
      <c r="F60" s="5">
        <f>IF(ISNUMBER($E60),ROUND($C60-$E60,2),"")</f>
      </c>
      <c r="G60" s="5">
        <f>IF(ISNUMBER($F60),COUNTIFS($A$2:$A$501,$A60,$F$2:$F$501,"&gt;"&amp;$F60)+1,"")</f>
      </c>
    </row>
    <row r="61">
      <c r="A61" s="6"/>
      <c r="D61" s="5">
        <f>IF(OR($A61="",$B61="",$C61=""),"",COUNTIFS($B$2:$B$501,$B61,$C$2:$C$501,"&lt;&gt;",$A$2:$A$501,"&lt;"&amp;$A61)+COUNTIFS($B$1:$B60,$B61,$C$1:$C60,"&lt;&gt;",$A$1:$A60,$A61)+1)</f>
      </c>
      <c r="E61" s="5">
        <f>IF($D61="","",IF(OR($D61=1,AND(Settings!$B$4="Yes",$D61&lt;=Settings!$B$2)),IF(COUNTIFS(Players!$A$2:$A$101,$B61,Players!$B$2:$B$101,"&lt;&gt;")=0,"Add a starting quota",ROUND(SUMIFS(Players!$B$2:$B$101,Players!$A$2:$A$101,$B61),Settings!$B$3)),ROUND(SUMIFS($C$2:$C$501,$B$2:$B$501,$B61,$D$2:$D$501,"&gt;="&amp;($D61-Settings!$B$2),$D$2:$D$501,"&lt;"&amp;$D61)/COUNTIFS($B$2:$B$501,$B61,$D$2:$D$501,"&gt;="&amp;($D61-Settings!$B$2),$D$2:$D$501,"&lt;"&amp;$D61),Settings!$B$3)))</f>
      </c>
      <c r="F61" s="5">
        <f>IF(ISNUMBER($E61),ROUND($C61-$E61,2),"")</f>
      </c>
      <c r="G61" s="5">
        <f>IF(ISNUMBER($F61),COUNTIFS($A$2:$A$501,$A61,$F$2:$F$501,"&gt;"&amp;$F61)+1,"")</f>
      </c>
    </row>
    <row r="62">
      <c r="A62" s="6"/>
      <c r="D62" s="5">
        <f>IF(OR($A62="",$B62="",$C62=""),"",COUNTIFS($B$2:$B$501,$B62,$C$2:$C$501,"&lt;&gt;",$A$2:$A$501,"&lt;"&amp;$A62)+COUNTIFS($B$1:$B61,$B62,$C$1:$C61,"&lt;&gt;",$A$1:$A61,$A62)+1)</f>
      </c>
      <c r="E62" s="5">
        <f>IF($D62="","",IF(OR($D62=1,AND(Settings!$B$4="Yes",$D62&lt;=Settings!$B$2)),IF(COUNTIFS(Players!$A$2:$A$101,$B62,Players!$B$2:$B$101,"&lt;&gt;")=0,"Add a starting quota",ROUND(SUMIFS(Players!$B$2:$B$101,Players!$A$2:$A$101,$B62),Settings!$B$3)),ROUND(SUMIFS($C$2:$C$501,$B$2:$B$501,$B62,$D$2:$D$501,"&gt;="&amp;($D62-Settings!$B$2),$D$2:$D$501,"&lt;"&amp;$D62)/COUNTIFS($B$2:$B$501,$B62,$D$2:$D$501,"&gt;="&amp;($D62-Settings!$B$2),$D$2:$D$501,"&lt;"&amp;$D62),Settings!$B$3)))</f>
      </c>
      <c r="F62" s="5">
        <f>IF(ISNUMBER($E62),ROUND($C62-$E62,2),"")</f>
      </c>
      <c r="G62" s="5">
        <f>IF(ISNUMBER($F62),COUNTIFS($A$2:$A$501,$A62,$F$2:$F$501,"&gt;"&amp;$F62)+1,"")</f>
      </c>
    </row>
    <row r="63">
      <c r="A63" s="6"/>
      <c r="D63" s="5">
        <f>IF(OR($A63="",$B63="",$C63=""),"",COUNTIFS($B$2:$B$501,$B63,$C$2:$C$501,"&lt;&gt;",$A$2:$A$501,"&lt;"&amp;$A63)+COUNTIFS($B$1:$B62,$B63,$C$1:$C62,"&lt;&gt;",$A$1:$A62,$A63)+1)</f>
      </c>
      <c r="E63" s="5">
        <f>IF($D63="","",IF(OR($D63=1,AND(Settings!$B$4="Yes",$D63&lt;=Settings!$B$2)),IF(COUNTIFS(Players!$A$2:$A$101,$B63,Players!$B$2:$B$101,"&lt;&gt;")=0,"Add a starting quota",ROUND(SUMIFS(Players!$B$2:$B$101,Players!$A$2:$A$101,$B63),Settings!$B$3)),ROUND(SUMIFS($C$2:$C$501,$B$2:$B$501,$B63,$D$2:$D$501,"&gt;="&amp;($D63-Settings!$B$2),$D$2:$D$501,"&lt;"&amp;$D63)/COUNTIFS($B$2:$B$501,$B63,$D$2:$D$501,"&gt;="&amp;($D63-Settings!$B$2),$D$2:$D$501,"&lt;"&amp;$D63),Settings!$B$3)))</f>
      </c>
      <c r="F63" s="5">
        <f>IF(ISNUMBER($E63),ROUND($C63-$E63,2),"")</f>
      </c>
      <c r="G63" s="5">
        <f>IF(ISNUMBER($F63),COUNTIFS($A$2:$A$501,$A63,$F$2:$F$501,"&gt;"&amp;$F63)+1,"")</f>
      </c>
    </row>
    <row r="64">
      <c r="A64" s="6"/>
      <c r="D64" s="5">
        <f>IF(OR($A64="",$B64="",$C64=""),"",COUNTIFS($B$2:$B$501,$B64,$C$2:$C$501,"&lt;&gt;",$A$2:$A$501,"&lt;"&amp;$A64)+COUNTIFS($B$1:$B63,$B64,$C$1:$C63,"&lt;&gt;",$A$1:$A63,$A64)+1)</f>
      </c>
      <c r="E64" s="5">
        <f>IF($D64="","",IF(OR($D64=1,AND(Settings!$B$4="Yes",$D64&lt;=Settings!$B$2)),IF(COUNTIFS(Players!$A$2:$A$101,$B64,Players!$B$2:$B$101,"&lt;&gt;")=0,"Add a starting quota",ROUND(SUMIFS(Players!$B$2:$B$101,Players!$A$2:$A$101,$B64),Settings!$B$3)),ROUND(SUMIFS($C$2:$C$501,$B$2:$B$501,$B64,$D$2:$D$501,"&gt;="&amp;($D64-Settings!$B$2),$D$2:$D$501,"&lt;"&amp;$D64)/COUNTIFS($B$2:$B$501,$B64,$D$2:$D$501,"&gt;="&amp;($D64-Settings!$B$2),$D$2:$D$501,"&lt;"&amp;$D64),Settings!$B$3)))</f>
      </c>
      <c r="F64" s="5">
        <f>IF(ISNUMBER($E64),ROUND($C64-$E64,2),"")</f>
      </c>
      <c r="G64" s="5">
        <f>IF(ISNUMBER($F64),COUNTIFS($A$2:$A$501,$A64,$F$2:$F$501,"&gt;"&amp;$F64)+1,"")</f>
      </c>
    </row>
    <row r="65">
      <c r="A65" s="6"/>
      <c r="D65" s="5">
        <f>IF(OR($A65="",$B65="",$C65=""),"",COUNTIFS($B$2:$B$501,$B65,$C$2:$C$501,"&lt;&gt;",$A$2:$A$501,"&lt;"&amp;$A65)+COUNTIFS($B$1:$B64,$B65,$C$1:$C64,"&lt;&gt;",$A$1:$A64,$A65)+1)</f>
      </c>
      <c r="E65" s="5">
        <f>IF($D65="","",IF(OR($D65=1,AND(Settings!$B$4="Yes",$D65&lt;=Settings!$B$2)),IF(COUNTIFS(Players!$A$2:$A$101,$B65,Players!$B$2:$B$101,"&lt;&gt;")=0,"Add a starting quota",ROUND(SUMIFS(Players!$B$2:$B$101,Players!$A$2:$A$101,$B65),Settings!$B$3)),ROUND(SUMIFS($C$2:$C$501,$B$2:$B$501,$B65,$D$2:$D$501,"&gt;="&amp;($D65-Settings!$B$2),$D$2:$D$501,"&lt;"&amp;$D65)/COUNTIFS($B$2:$B$501,$B65,$D$2:$D$501,"&gt;="&amp;($D65-Settings!$B$2),$D$2:$D$501,"&lt;"&amp;$D65),Settings!$B$3)))</f>
      </c>
      <c r="F65" s="5">
        <f>IF(ISNUMBER($E65),ROUND($C65-$E65,2),"")</f>
      </c>
      <c r="G65" s="5">
        <f>IF(ISNUMBER($F65),COUNTIFS($A$2:$A$501,$A65,$F$2:$F$501,"&gt;"&amp;$F65)+1,"")</f>
      </c>
    </row>
    <row r="66">
      <c r="A66" s="6"/>
      <c r="D66" s="5">
        <f>IF(OR($A66="",$B66="",$C66=""),"",COUNTIFS($B$2:$B$501,$B66,$C$2:$C$501,"&lt;&gt;",$A$2:$A$501,"&lt;"&amp;$A66)+COUNTIFS($B$1:$B65,$B66,$C$1:$C65,"&lt;&gt;",$A$1:$A65,$A66)+1)</f>
      </c>
      <c r="E66" s="5">
        <f>IF($D66="","",IF(OR($D66=1,AND(Settings!$B$4="Yes",$D66&lt;=Settings!$B$2)),IF(COUNTIFS(Players!$A$2:$A$101,$B66,Players!$B$2:$B$101,"&lt;&gt;")=0,"Add a starting quota",ROUND(SUMIFS(Players!$B$2:$B$101,Players!$A$2:$A$101,$B66),Settings!$B$3)),ROUND(SUMIFS($C$2:$C$501,$B$2:$B$501,$B66,$D$2:$D$501,"&gt;="&amp;($D66-Settings!$B$2),$D$2:$D$501,"&lt;"&amp;$D66)/COUNTIFS($B$2:$B$501,$B66,$D$2:$D$501,"&gt;="&amp;($D66-Settings!$B$2),$D$2:$D$501,"&lt;"&amp;$D66),Settings!$B$3)))</f>
      </c>
      <c r="F66" s="5">
        <f>IF(ISNUMBER($E66),ROUND($C66-$E66,2),"")</f>
      </c>
      <c r="G66" s="5">
        <f>IF(ISNUMBER($F66),COUNTIFS($A$2:$A$501,$A66,$F$2:$F$501,"&gt;"&amp;$F66)+1,"")</f>
      </c>
    </row>
    <row r="67">
      <c r="A67" s="6"/>
      <c r="D67" s="5">
        <f>IF(OR($A67="",$B67="",$C67=""),"",COUNTIFS($B$2:$B$501,$B67,$C$2:$C$501,"&lt;&gt;",$A$2:$A$501,"&lt;"&amp;$A67)+COUNTIFS($B$1:$B66,$B67,$C$1:$C66,"&lt;&gt;",$A$1:$A66,$A67)+1)</f>
      </c>
      <c r="E67" s="5">
        <f>IF($D67="","",IF(OR($D67=1,AND(Settings!$B$4="Yes",$D67&lt;=Settings!$B$2)),IF(COUNTIFS(Players!$A$2:$A$101,$B67,Players!$B$2:$B$101,"&lt;&gt;")=0,"Add a starting quota",ROUND(SUMIFS(Players!$B$2:$B$101,Players!$A$2:$A$101,$B67),Settings!$B$3)),ROUND(SUMIFS($C$2:$C$501,$B$2:$B$501,$B67,$D$2:$D$501,"&gt;="&amp;($D67-Settings!$B$2),$D$2:$D$501,"&lt;"&amp;$D67)/COUNTIFS($B$2:$B$501,$B67,$D$2:$D$501,"&gt;="&amp;($D67-Settings!$B$2),$D$2:$D$501,"&lt;"&amp;$D67),Settings!$B$3)))</f>
      </c>
      <c r="F67" s="5">
        <f>IF(ISNUMBER($E67),ROUND($C67-$E67,2),"")</f>
      </c>
      <c r="G67" s="5">
        <f>IF(ISNUMBER($F67),COUNTIFS($A$2:$A$501,$A67,$F$2:$F$501,"&gt;"&amp;$F67)+1,"")</f>
      </c>
    </row>
    <row r="68">
      <c r="A68" s="6"/>
      <c r="D68" s="5">
        <f>IF(OR($A68="",$B68="",$C68=""),"",COUNTIFS($B$2:$B$501,$B68,$C$2:$C$501,"&lt;&gt;",$A$2:$A$501,"&lt;"&amp;$A68)+COUNTIFS($B$1:$B67,$B68,$C$1:$C67,"&lt;&gt;",$A$1:$A67,$A68)+1)</f>
      </c>
      <c r="E68" s="5">
        <f>IF($D68="","",IF(OR($D68=1,AND(Settings!$B$4="Yes",$D68&lt;=Settings!$B$2)),IF(COUNTIFS(Players!$A$2:$A$101,$B68,Players!$B$2:$B$101,"&lt;&gt;")=0,"Add a starting quota",ROUND(SUMIFS(Players!$B$2:$B$101,Players!$A$2:$A$101,$B68),Settings!$B$3)),ROUND(SUMIFS($C$2:$C$501,$B$2:$B$501,$B68,$D$2:$D$501,"&gt;="&amp;($D68-Settings!$B$2),$D$2:$D$501,"&lt;"&amp;$D68)/COUNTIFS($B$2:$B$501,$B68,$D$2:$D$501,"&gt;="&amp;($D68-Settings!$B$2),$D$2:$D$501,"&lt;"&amp;$D68),Settings!$B$3)))</f>
      </c>
      <c r="F68" s="5">
        <f>IF(ISNUMBER($E68),ROUND($C68-$E68,2),"")</f>
      </c>
      <c r="G68" s="5">
        <f>IF(ISNUMBER($F68),COUNTIFS($A$2:$A$501,$A68,$F$2:$F$501,"&gt;"&amp;$F68)+1,"")</f>
      </c>
    </row>
    <row r="69">
      <c r="A69" s="6"/>
      <c r="D69" s="5">
        <f>IF(OR($A69="",$B69="",$C69=""),"",COUNTIFS($B$2:$B$501,$B69,$C$2:$C$501,"&lt;&gt;",$A$2:$A$501,"&lt;"&amp;$A69)+COUNTIFS($B$1:$B68,$B69,$C$1:$C68,"&lt;&gt;",$A$1:$A68,$A69)+1)</f>
      </c>
      <c r="E69" s="5">
        <f>IF($D69="","",IF(OR($D69=1,AND(Settings!$B$4="Yes",$D69&lt;=Settings!$B$2)),IF(COUNTIFS(Players!$A$2:$A$101,$B69,Players!$B$2:$B$101,"&lt;&gt;")=0,"Add a starting quota",ROUND(SUMIFS(Players!$B$2:$B$101,Players!$A$2:$A$101,$B69),Settings!$B$3)),ROUND(SUMIFS($C$2:$C$501,$B$2:$B$501,$B69,$D$2:$D$501,"&gt;="&amp;($D69-Settings!$B$2),$D$2:$D$501,"&lt;"&amp;$D69)/COUNTIFS($B$2:$B$501,$B69,$D$2:$D$501,"&gt;="&amp;($D69-Settings!$B$2),$D$2:$D$501,"&lt;"&amp;$D69),Settings!$B$3)))</f>
      </c>
      <c r="F69" s="5">
        <f>IF(ISNUMBER($E69),ROUND($C69-$E69,2),"")</f>
      </c>
      <c r="G69" s="5">
        <f>IF(ISNUMBER($F69),COUNTIFS($A$2:$A$501,$A69,$F$2:$F$501,"&gt;"&amp;$F69)+1,"")</f>
      </c>
    </row>
    <row r="70">
      <c r="A70" s="6"/>
      <c r="D70" s="5">
        <f>IF(OR($A70="",$B70="",$C70=""),"",COUNTIFS($B$2:$B$501,$B70,$C$2:$C$501,"&lt;&gt;",$A$2:$A$501,"&lt;"&amp;$A70)+COUNTIFS($B$1:$B69,$B70,$C$1:$C69,"&lt;&gt;",$A$1:$A69,$A70)+1)</f>
      </c>
      <c r="E70" s="5">
        <f>IF($D70="","",IF(OR($D70=1,AND(Settings!$B$4="Yes",$D70&lt;=Settings!$B$2)),IF(COUNTIFS(Players!$A$2:$A$101,$B70,Players!$B$2:$B$101,"&lt;&gt;")=0,"Add a starting quota",ROUND(SUMIFS(Players!$B$2:$B$101,Players!$A$2:$A$101,$B70),Settings!$B$3)),ROUND(SUMIFS($C$2:$C$501,$B$2:$B$501,$B70,$D$2:$D$501,"&gt;="&amp;($D70-Settings!$B$2),$D$2:$D$501,"&lt;"&amp;$D70)/COUNTIFS($B$2:$B$501,$B70,$D$2:$D$501,"&gt;="&amp;($D70-Settings!$B$2),$D$2:$D$501,"&lt;"&amp;$D70),Settings!$B$3)))</f>
      </c>
      <c r="F70" s="5">
        <f>IF(ISNUMBER($E70),ROUND($C70-$E70,2),"")</f>
      </c>
      <c r="G70" s="5">
        <f>IF(ISNUMBER($F70),COUNTIFS($A$2:$A$501,$A70,$F$2:$F$501,"&gt;"&amp;$F70)+1,"")</f>
      </c>
    </row>
    <row r="71">
      <c r="A71" s="6"/>
      <c r="D71" s="5">
        <f>IF(OR($A71="",$B71="",$C71=""),"",COUNTIFS($B$2:$B$501,$B71,$C$2:$C$501,"&lt;&gt;",$A$2:$A$501,"&lt;"&amp;$A71)+COUNTIFS($B$1:$B70,$B71,$C$1:$C70,"&lt;&gt;",$A$1:$A70,$A71)+1)</f>
      </c>
      <c r="E71" s="5">
        <f>IF($D71="","",IF(OR($D71=1,AND(Settings!$B$4="Yes",$D71&lt;=Settings!$B$2)),IF(COUNTIFS(Players!$A$2:$A$101,$B71,Players!$B$2:$B$101,"&lt;&gt;")=0,"Add a starting quota",ROUND(SUMIFS(Players!$B$2:$B$101,Players!$A$2:$A$101,$B71),Settings!$B$3)),ROUND(SUMIFS($C$2:$C$501,$B$2:$B$501,$B71,$D$2:$D$501,"&gt;="&amp;($D71-Settings!$B$2),$D$2:$D$501,"&lt;"&amp;$D71)/COUNTIFS($B$2:$B$501,$B71,$D$2:$D$501,"&gt;="&amp;($D71-Settings!$B$2),$D$2:$D$501,"&lt;"&amp;$D71),Settings!$B$3)))</f>
      </c>
      <c r="F71" s="5">
        <f>IF(ISNUMBER($E71),ROUND($C71-$E71,2),"")</f>
      </c>
      <c r="G71" s="5">
        <f>IF(ISNUMBER($F71),COUNTIFS($A$2:$A$501,$A71,$F$2:$F$501,"&gt;"&amp;$F71)+1,"")</f>
      </c>
    </row>
    <row r="72">
      <c r="A72" s="6"/>
      <c r="D72" s="5">
        <f>IF(OR($A72="",$B72="",$C72=""),"",COUNTIFS($B$2:$B$501,$B72,$C$2:$C$501,"&lt;&gt;",$A$2:$A$501,"&lt;"&amp;$A72)+COUNTIFS($B$1:$B71,$B72,$C$1:$C71,"&lt;&gt;",$A$1:$A71,$A72)+1)</f>
      </c>
      <c r="E72" s="5">
        <f>IF($D72="","",IF(OR($D72=1,AND(Settings!$B$4="Yes",$D72&lt;=Settings!$B$2)),IF(COUNTIFS(Players!$A$2:$A$101,$B72,Players!$B$2:$B$101,"&lt;&gt;")=0,"Add a starting quota",ROUND(SUMIFS(Players!$B$2:$B$101,Players!$A$2:$A$101,$B72),Settings!$B$3)),ROUND(SUMIFS($C$2:$C$501,$B$2:$B$501,$B72,$D$2:$D$501,"&gt;="&amp;($D72-Settings!$B$2),$D$2:$D$501,"&lt;"&amp;$D72)/COUNTIFS($B$2:$B$501,$B72,$D$2:$D$501,"&gt;="&amp;($D72-Settings!$B$2),$D$2:$D$501,"&lt;"&amp;$D72),Settings!$B$3)))</f>
      </c>
      <c r="F72" s="5">
        <f>IF(ISNUMBER($E72),ROUND($C72-$E72,2),"")</f>
      </c>
      <c r="G72" s="5">
        <f>IF(ISNUMBER($F72),COUNTIFS($A$2:$A$501,$A72,$F$2:$F$501,"&gt;"&amp;$F72)+1,"")</f>
      </c>
    </row>
    <row r="73">
      <c r="A73" s="6"/>
      <c r="D73" s="5">
        <f>IF(OR($A73="",$B73="",$C73=""),"",COUNTIFS($B$2:$B$501,$B73,$C$2:$C$501,"&lt;&gt;",$A$2:$A$501,"&lt;"&amp;$A73)+COUNTIFS($B$1:$B72,$B73,$C$1:$C72,"&lt;&gt;",$A$1:$A72,$A73)+1)</f>
      </c>
      <c r="E73" s="5">
        <f>IF($D73="","",IF(OR($D73=1,AND(Settings!$B$4="Yes",$D73&lt;=Settings!$B$2)),IF(COUNTIFS(Players!$A$2:$A$101,$B73,Players!$B$2:$B$101,"&lt;&gt;")=0,"Add a starting quota",ROUND(SUMIFS(Players!$B$2:$B$101,Players!$A$2:$A$101,$B73),Settings!$B$3)),ROUND(SUMIFS($C$2:$C$501,$B$2:$B$501,$B73,$D$2:$D$501,"&gt;="&amp;($D73-Settings!$B$2),$D$2:$D$501,"&lt;"&amp;$D73)/COUNTIFS($B$2:$B$501,$B73,$D$2:$D$501,"&gt;="&amp;($D73-Settings!$B$2),$D$2:$D$501,"&lt;"&amp;$D73),Settings!$B$3)))</f>
      </c>
      <c r="F73" s="5">
        <f>IF(ISNUMBER($E73),ROUND($C73-$E73,2),"")</f>
      </c>
      <c r="G73" s="5">
        <f>IF(ISNUMBER($F73),COUNTIFS($A$2:$A$501,$A73,$F$2:$F$501,"&gt;"&amp;$F73)+1,"")</f>
      </c>
    </row>
    <row r="74">
      <c r="A74" s="6"/>
      <c r="D74" s="5">
        <f>IF(OR($A74="",$B74="",$C74=""),"",COUNTIFS($B$2:$B$501,$B74,$C$2:$C$501,"&lt;&gt;",$A$2:$A$501,"&lt;"&amp;$A74)+COUNTIFS($B$1:$B73,$B74,$C$1:$C73,"&lt;&gt;",$A$1:$A73,$A74)+1)</f>
      </c>
      <c r="E74" s="5">
        <f>IF($D74="","",IF(OR($D74=1,AND(Settings!$B$4="Yes",$D74&lt;=Settings!$B$2)),IF(COUNTIFS(Players!$A$2:$A$101,$B74,Players!$B$2:$B$101,"&lt;&gt;")=0,"Add a starting quota",ROUND(SUMIFS(Players!$B$2:$B$101,Players!$A$2:$A$101,$B74),Settings!$B$3)),ROUND(SUMIFS($C$2:$C$501,$B$2:$B$501,$B74,$D$2:$D$501,"&gt;="&amp;($D74-Settings!$B$2),$D$2:$D$501,"&lt;"&amp;$D74)/COUNTIFS($B$2:$B$501,$B74,$D$2:$D$501,"&gt;="&amp;($D74-Settings!$B$2),$D$2:$D$501,"&lt;"&amp;$D74),Settings!$B$3)))</f>
      </c>
      <c r="F74" s="5">
        <f>IF(ISNUMBER($E74),ROUND($C74-$E74,2),"")</f>
      </c>
      <c r="G74" s="5">
        <f>IF(ISNUMBER($F74),COUNTIFS($A$2:$A$501,$A74,$F$2:$F$501,"&gt;"&amp;$F74)+1,"")</f>
      </c>
    </row>
    <row r="75">
      <c r="A75" s="6"/>
      <c r="D75" s="5">
        <f>IF(OR($A75="",$B75="",$C75=""),"",COUNTIFS($B$2:$B$501,$B75,$C$2:$C$501,"&lt;&gt;",$A$2:$A$501,"&lt;"&amp;$A75)+COUNTIFS($B$1:$B74,$B75,$C$1:$C74,"&lt;&gt;",$A$1:$A74,$A75)+1)</f>
      </c>
      <c r="E75" s="5">
        <f>IF($D75="","",IF(OR($D75=1,AND(Settings!$B$4="Yes",$D75&lt;=Settings!$B$2)),IF(COUNTIFS(Players!$A$2:$A$101,$B75,Players!$B$2:$B$101,"&lt;&gt;")=0,"Add a starting quota",ROUND(SUMIFS(Players!$B$2:$B$101,Players!$A$2:$A$101,$B75),Settings!$B$3)),ROUND(SUMIFS($C$2:$C$501,$B$2:$B$501,$B75,$D$2:$D$501,"&gt;="&amp;($D75-Settings!$B$2),$D$2:$D$501,"&lt;"&amp;$D75)/COUNTIFS($B$2:$B$501,$B75,$D$2:$D$501,"&gt;="&amp;($D75-Settings!$B$2),$D$2:$D$501,"&lt;"&amp;$D75),Settings!$B$3)))</f>
      </c>
      <c r="F75" s="5">
        <f>IF(ISNUMBER($E75),ROUND($C75-$E75,2),"")</f>
      </c>
      <c r="G75" s="5">
        <f>IF(ISNUMBER($F75),COUNTIFS($A$2:$A$501,$A75,$F$2:$F$501,"&gt;"&amp;$F75)+1,"")</f>
      </c>
    </row>
    <row r="76">
      <c r="A76" s="6"/>
      <c r="D76" s="5">
        <f>IF(OR($A76="",$B76="",$C76=""),"",COUNTIFS($B$2:$B$501,$B76,$C$2:$C$501,"&lt;&gt;",$A$2:$A$501,"&lt;"&amp;$A76)+COUNTIFS($B$1:$B75,$B76,$C$1:$C75,"&lt;&gt;",$A$1:$A75,$A76)+1)</f>
      </c>
      <c r="E76" s="5">
        <f>IF($D76="","",IF(OR($D76=1,AND(Settings!$B$4="Yes",$D76&lt;=Settings!$B$2)),IF(COUNTIFS(Players!$A$2:$A$101,$B76,Players!$B$2:$B$101,"&lt;&gt;")=0,"Add a starting quota",ROUND(SUMIFS(Players!$B$2:$B$101,Players!$A$2:$A$101,$B76),Settings!$B$3)),ROUND(SUMIFS($C$2:$C$501,$B$2:$B$501,$B76,$D$2:$D$501,"&gt;="&amp;($D76-Settings!$B$2),$D$2:$D$501,"&lt;"&amp;$D76)/COUNTIFS($B$2:$B$501,$B76,$D$2:$D$501,"&gt;="&amp;($D76-Settings!$B$2),$D$2:$D$501,"&lt;"&amp;$D76),Settings!$B$3)))</f>
      </c>
      <c r="F76" s="5">
        <f>IF(ISNUMBER($E76),ROUND($C76-$E76,2),"")</f>
      </c>
      <c r="G76" s="5">
        <f>IF(ISNUMBER($F76),COUNTIFS($A$2:$A$501,$A76,$F$2:$F$501,"&gt;"&amp;$F76)+1,"")</f>
      </c>
    </row>
    <row r="77">
      <c r="A77" s="6"/>
      <c r="D77" s="5">
        <f>IF(OR($A77="",$B77="",$C77=""),"",COUNTIFS($B$2:$B$501,$B77,$C$2:$C$501,"&lt;&gt;",$A$2:$A$501,"&lt;"&amp;$A77)+COUNTIFS($B$1:$B76,$B77,$C$1:$C76,"&lt;&gt;",$A$1:$A76,$A77)+1)</f>
      </c>
      <c r="E77" s="5">
        <f>IF($D77="","",IF(OR($D77=1,AND(Settings!$B$4="Yes",$D77&lt;=Settings!$B$2)),IF(COUNTIFS(Players!$A$2:$A$101,$B77,Players!$B$2:$B$101,"&lt;&gt;")=0,"Add a starting quota",ROUND(SUMIFS(Players!$B$2:$B$101,Players!$A$2:$A$101,$B77),Settings!$B$3)),ROUND(SUMIFS($C$2:$C$501,$B$2:$B$501,$B77,$D$2:$D$501,"&gt;="&amp;($D77-Settings!$B$2),$D$2:$D$501,"&lt;"&amp;$D77)/COUNTIFS($B$2:$B$501,$B77,$D$2:$D$501,"&gt;="&amp;($D77-Settings!$B$2),$D$2:$D$501,"&lt;"&amp;$D77),Settings!$B$3)))</f>
      </c>
      <c r="F77" s="5">
        <f>IF(ISNUMBER($E77),ROUND($C77-$E77,2),"")</f>
      </c>
      <c r="G77" s="5">
        <f>IF(ISNUMBER($F77),COUNTIFS($A$2:$A$501,$A77,$F$2:$F$501,"&gt;"&amp;$F77)+1,"")</f>
      </c>
    </row>
    <row r="78">
      <c r="A78" s="6"/>
      <c r="D78" s="5">
        <f>IF(OR($A78="",$B78="",$C78=""),"",COUNTIFS($B$2:$B$501,$B78,$C$2:$C$501,"&lt;&gt;",$A$2:$A$501,"&lt;"&amp;$A78)+COUNTIFS($B$1:$B77,$B78,$C$1:$C77,"&lt;&gt;",$A$1:$A77,$A78)+1)</f>
      </c>
      <c r="E78" s="5">
        <f>IF($D78="","",IF(OR($D78=1,AND(Settings!$B$4="Yes",$D78&lt;=Settings!$B$2)),IF(COUNTIFS(Players!$A$2:$A$101,$B78,Players!$B$2:$B$101,"&lt;&gt;")=0,"Add a starting quota",ROUND(SUMIFS(Players!$B$2:$B$101,Players!$A$2:$A$101,$B78),Settings!$B$3)),ROUND(SUMIFS($C$2:$C$501,$B$2:$B$501,$B78,$D$2:$D$501,"&gt;="&amp;($D78-Settings!$B$2),$D$2:$D$501,"&lt;"&amp;$D78)/COUNTIFS($B$2:$B$501,$B78,$D$2:$D$501,"&gt;="&amp;($D78-Settings!$B$2),$D$2:$D$501,"&lt;"&amp;$D78),Settings!$B$3)))</f>
      </c>
      <c r="F78" s="5">
        <f>IF(ISNUMBER($E78),ROUND($C78-$E78,2),"")</f>
      </c>
      <c r="G78" s="5">
        <f>IF(ISNUMBER($F78),COUNTIFS($A$2:$A$501,$A78,$F$2:$F$501,"&gt;"&amp;$F78)+1,"")</f>
      </c>
    </row>
    <row r="79">
      <c r="A79" s="6"/>
      <c r="D79" s="5">
        <f>IF(OR($A79="",$B79="",$C79=""),"",COUNTIFS($B$2:$B$501,$B79,$C$2:$C$501,"&lt;&gt;",$A$2:$A$501,"&lt;"&amp;$A79)+COUNTIFS($B$1:$B78,$B79,$C$1:$C78,"&lt;&gt;",$A$1:$A78,$A79)+1)</f>
      </c>
      <c r="E79" s="5">
        <f>IF($D79="","",IF(OR($D79=1,AND(Settings!$B$4="Yes",$D79&lt;=Settings!$B$2)),IF(COUNTIFS(Players!$A$2:$A$101,$B79,Players!$B$2:$B$101,"&lt;&gt;")=0,"Add a starting quota",ROUND(SUMIFS(Players!$B$2:$B$101,Players!$A$2:$A$101,$B79),Settings!$B$3)),ROUND(SUMIFS($C$2:$C$501,$B$2:$B$501,$B79,$D$2:$D$501,"&gt;="&amp;($D79-Settings!$B$2),$D$2:$D$501,"&lt;"&amp;$D79)/COUNTIFS($B$2:$B$501,$B79,$D$2:$D$501,"&gt;="&amp;($D79-Settings!$B$2),$D$2:$D$501,"&lt;"&amp;$D79),Settings!$B$3)))</f>
      </c>
      <c r="F79" s="5">
        <f>IF(ISNUMBER($E79),ROUND($C79-$E79,2),"")</f>
      </c>
      <c r="G79" s="5">
        <f>IF(ISNUMBER($F79),COUNTIFS($A$2:$A$501,$A79,$F$2:$F$501,"&gt;"&amp;$F79)+1,"")</f>
      </c>
    </row>
    <row r="80">
      <c r="A80" s="6"/>
      <c r="D80" s="5">
        <f>IF(OR($A80="",$B80="",$C80=""),"",COUNTIFS($B$2:$B$501,$B80,$C$2:$C$501,"&lt;&gt;",$A$2:$A$501,"&lt;"&amp;$A80)+COUNTIFS($B$1:$B79,$B80,$C$1:$C79,"&lt;&gt;",$A$1:$A79,$A80)+1)</f>
      </c>
      <c r="E80" s="5">
        <f>IF($D80="","",IF(OR($D80=1,AND(Settings!$B$4="Yes",$D80&lt;=Settings!$B$2)),IF(COUNTIFS(Players!$A$2:$A$101,$B80,Players!$B$2:$B$101,"&lt;&gt;")=0,"Add a starting quota",ROUND(SUMIFS(Players!$B$2:$B$101,Players!$A$2:$A$101,$B80),Settings!$B$3)),ROUND(SUMIFS($C$2:$C$501,$B$2:$B$501,$B80,$D$2:$D$501,"&gt;="&amp;($D80-Settings!$B$2),$D$2:$D$501,"&lt;"&amp;$D80)/COUNTIFS($B$2:$B$501,$B80,$D$2:$D$501,"&gt;="&amp;($D80-Settings!$B$2),$D$2:$D$501,"&lt;"&amp;$D80),Settings!$B$3)))</f>
      </c>
      <c r="F80" s="5">
        <f>IF(ISNUMBER($E80),ROUND($C80-$E80,2),"")</f>
      </c>
      <c r="G80" s="5">
        <f>IF(ISNUMBER($F80),COUNTIFS($A$2:$A$501,$A80,$F$2:$F$501,"&gt;"&amp;$F80)+1,"")</f>
      </c>
    </row>
    <row r="81">
      <c r="A81" s="6"/>
      <c r="D81" s="5">
        <f>IF(OR($A81="",$B81="",$C81=""),"",COUNTIFS($B$2:$B$501,$B81,$C$2:$C$501,"&lt;&gt;",$A$2:$A$501,"&lt;"&amp;$A81)+COUNTIFS($B$1:$B80,$B81,$C$1:$C80,"&lt;&gt;",$A$1:$A80,$A81)+1)</f>
      </c>
      <c r="E81" s="5">
        <f>IF($D81="","",IF(OR($D81=1,AND(Settings!$B$4="Yes",$D81&lt;=Settings!$B$2)),IF(COUNTIFS(Players!$A$2:$A$101,$B81,Players!$B$2:$B$101,"&lt;&gt;")=0,"Add a starting quota",ROUND(SUMIFS(Players!$B$2:$B$101,Players!$A$2:$A$101,$B81),Settings!$B$3)),ROUND(SUMIFS($C$2:$C$501,$B$2:$B$501,$B81,$D$2:$D$501,"&gt;="&amp;($D81-Settings!$B$2),$D$2:$D$501,"&lt;"&amp;$D81)/COUNTIFS($B$2:$B$501,$B81,$D$2:$D$501,"&gt;="&amp;($D81-Settings!$B$2),$D$2:$D$501,"&lt;"&amp;$D81),Settings!$B$3)))</f>
      </c>
      <c r="F81" s="5">
        <f>IF(ISNUMBER($E81),ROUND($C81-$E81,2),"")</f>
      </c>
      <c r="G81" s="5">
        <f>IF(ISNUMBER($F81),COUNTIFS($A$2:$A$501,$A81,$F$2:$F$501,"&gt;"&amp;$F81)+1,"")</f>
      </c>
    </row>
    <row r="82">
      <c r="A82" s="6"/>
      <c r="D82" s="5">
        <f>IF(OR($A82="",$B82="",$C82=""),"",COUNTIFS($B$2:$B$501,$B82,$C$2:$C$501,"&lt;&gt;",$A$2:$A$501,"&lt;"&amp;$A82)+COUNTIFS($B$1:$B81,$B82,$C$1:$C81,"&lt;&gt;",$A$1:$A81,$A82)+1)</f>
      </c>
      <c r="E82" s="5">
        <f>IF($D82="","",IF(OR($D82=1,AND(Settings!$B$4="Yes",$D82&lt;=Settings!$B$2)),IF(COUNTIFS(Players!$A$2:$A$101,$B82,Players!$B$2:$B$101,"&lt;&gt;")=0,"Add a starting quota",ROUND(SUMIFS(Players!$B$2:$B$101,Players!$A$2:$A$101,$B82),Settings!$B$3)),ROUND(SUMIFS($C$2:$C$501,$B$2:$B$501,$B82,$D$2:$D$501,"&gt;="&amp;($D82-Settings!$B$2),$D$2:$D$501,"&lt;"&amp;$D82)/COUNTIFS($B$2:$B$501,$B82,$D$2:$D$501,"&gt;="&amp;($D82-Settings!$B$2),$D$2:$D$501,"&lt;"&amp;$D82),Settings!$B$3)))</f>
      </c>
      <c r="F82" s="5">
        <f>IF(ISNUMBER($E82),ROUND($C82-$E82,2),"")</f>
      </c>
      <c r="G82" s="5">
        <f>IF(ISNUMBER($F82),COUNTIFS($A$2:$A$501,$A82,$F$2:$F$501,"&gt;"&amp;$F82)+1,"")</f>
      </c>
    </row>
    <row r="83">
      <c r="A83" s="6"/>
      <c r="D83" s="5">
        <f>IF(OR($A83="",$B83="",$C83=""),"",COUNTIFS($B$2:$B$501,$B83,$C$2:$C$501,"&lt;&gt;",$A$2:$A$501,"&lt;"&amp;$A83)+COUNTIFS($B$1:$B82,$B83,$C$1:$C82,"&lt;&gt;",$A$1:$A82,$A83)+1)</f>
      </c>
      <c r="E83" s="5">
        <f>IF($D83="","",IF(OR($D83=1,AND(Settings!$B$4="Yes",$D83&lt;=Settings!$B$2)),IF(COUNTIFS(Players!$A$2:$A$101,$B83,Players!$B$2:$B$101,"&lt;&gt;")=0,"Add a starting quota",ROUND(SUMIFS(Players!$B$2:$B$101,Players!$A$2:$A$101,$B83),Settings!$B$3)),ROUND(SUMIFS($C$2:$C$501,$B$2:$B$501,$B83,$D$2:$D$501,"&gt;="&amp;($D83-Settings!$B$2),$D$2:$D$501,"&lt;"&amp;$D83)/COUNTIFS($B$2:$B$501,$B83,$D$2:$D$501,"&gt;="&amp;($D83-Settings!$B$2),$D$2:$D$501,"&lt;"&amp;$D83),Settings!$B$3)))</f>
      </c>
      <c r="F83" s="5">
        <f>IF(ISNUMBER($E83),ROUND($C83-$E83,2),"")</f>
      </c>
      <c r="G83" s="5">
        <f>IF(ISNUMBER($F83),COUNTIFS($A$2:$A$501,$A83,$F$2:$F$501,"&gt;"&amp;$F83)+1,"")</f>
      </c>
    </row>
    <row r="84">
      <c r="A84" s="6"/>
      <c r="D84" s="5">
        <f>IF(OR($A84="",$B84="",$C84=""),"",COUNTIFS($B$2:$B$501,$B84,$C$2:$C$501,"&lt;&gt;",$A$2:$A$501,"&lt;"&amp;$A84)+COUNTIFS($B$1:$B83,$B84,$C$1:$C83,"&lt;&gt;",$A$1:$A83,$A84)+1)</f>
      </c>
      <c r="E84" s="5">
        <f>IF($D84="","",IF(OR($D84=1,AND(Settings!$B$4="Yes",$D84&lt;=Settings!$B$2)),IF(COUNTIFS(Players!$A$2:$A$101,$B84,Players!$B$2:$B$101,"&lt;&gt;")=0,"Add a starting quota",ROUND(SUMIFS(Players!$B$2:$B$101,Players!$A$2:$A$101,$B84),Settings!$B$3)),ROUND(SUMIFS($C$2:$C$501,$B$2:$B$501,$B84,$D$2:$D$501,"&gt;="&amp;($D84-Settings!$B$2),$D$2:$D$501,"&lt;"&amp;$D84)/COUNTIFS($B$2:$B$501,$B84,$D$2:$D$501,"&gt;="&amp;($D84-Settings!$B$2),$D$2:$D$501,"&lt;"&amp;$D84),Settings!$B$3)))</f>
      </c>
      <c r="F84" s="5">
        <f>IF(ISNUMBER($E84),ROUND($C84-$E84,2),"")</f>
      </c>
      <c r="G84" s="5">
        <f>IF(ISNUMBER($F84),COUNTIFS($A$2:$A$501,$A84,$F$2:$F$501,"&gt;"&amp;$F84)+1,"")</f>
      </c>
    </row>
    <row r="85">
      <c r="A85" s="6"/>
      <c r="D85" s="5">
        <f>IF(OR($A85="",$B85="",$C85=""),"",COUNTIFS($B$2:$B$501,$B85,$C$2:$C$501,"&lt;&gt;",$A$2:$A$501,"&lt;"&amp;$A85)+COUNTIFS($B$1:$B84,$B85,$C$1:$C84,"&lt;&gt;",$A$1:$A84,$A85)+1)</f>
      </c>
      <c r="E85" s="5">
        <f>IF($D85="","",IF(OR($D85=1,AND(Settings!$B$4="Yes",$D85&lt;=Settings!$B$2)),IF(COUNTIFS(Players!$A$2:$A$101,$B85,Players!$B$2:$B$101,"&lt;&gt;")=0,"Add a starting quota",ROUND(SUMIFS(Players!$B$2:$B$101,Players!$A$2:$A$101,$B85),Settings!$B$3)),ROUND(SUMIFS($C$2:$C$501,$B$2:$B$501,$B85,$D$2:$D$501,"&gt;="&amp;($D85-Settings!$B$2),$D$2:$D$501,"&lt;"&amp;$D85)/COUNTIFS($B$2:$B$501,$B85,$D$2:$D$501,"&gt;="&amp;($D85-Settings!$B$2),$D$2:$D$501,"&lt;"&amp;$D85),Settings!$B$3)))</f>
      </c>
      <c r="F85" s="5">
        <f>IF(ISNUMBER($E85),ROUND($C85-$E85,2),"")</f>
      </c>
      <c r="G85" s="5">
        <f>IF(ISNUMBER($F85),COUNTIFS($A$2:$A$501,$A85,$F$2:$F$501,"&gt;"&amp;$F85)+1,"")</f>
      </c>
    </row>
    <row r="86">
      <c r="A86" s="6"/>
      <c r="D86" s="5">
        <f>IF(OR($A86="",$B86="",$C86=""),"",COUNTIFS($B$2:$B$501,$B86,$C$2:$C$501,"&lt;&gt;",$A$2:$A$501,"&lt;"&amp;$A86)+COUNTIFS($B$1:$B85,$B86,$C$1:$C85,"&lt;&gt;",$A$1:$A85,$A86)+1)</f>
      </c>
      <c r="E86" s="5">
        <f>IF($D86="","",IF(OR($D86=1,AND(Settings!$B$4="Yes",$D86&lt;=Settings!$B$2)),IF(COUNTIFS(Players!$A$2:$A$101,$B86,Players!$B$2:$B$101,"&lt;&gt;")=0,"Add a starting quota",ROUND(SUMIFS(Players!$B$2:$B$101,Players!$A$2:$A$101,$B86),Settings!$B$3)),ROUND(SUMIFS($C$2:$C$501,$B$2:$B$501,$B86,$D$2:$D$501,"&gt;="&amp;($D86-Settings!$B$2),$D$2:$D$501,"&lt;"&amp;$D86)/COUNTIFS($B$2:$B$501,$B86,$D$2:$D$501,"&gt;="&amp;($D86-Settings!$B$2),$D$2:$D$501,"&lt;"&amp;$D86),Settings!$B$3)))</f>
      </c>
      <c r="F86" s="5">
        <f>IF(ISNUMBER($E86),ROUND($C86-$E86,2),"")</f>
      </c>
      <c r="G86" s="5">
        <f>IF(ISNUMBER($F86),COUNTIFS($A$2:$A$501,$A86,$F$2:$F$501,"&gt;"&amp;$F86)+1,"")</f>
      </c>
    </row>
    <row r="87">
      <c r="A87" s="6"/>
      <c r="D87" s="5">
        <f>IF(OR($A87="",$B87="",$C87=""),"",COUNTIFS($B$2:$B$501,$B87,$C$2:$C$501,"&lt;&gt;",$A$2:$A$501,"&lt;"&amp;$A87)+COUNTIFS($B$1:$B86,$B87,$C$1:$C86,"&lt;&gt;",$A$1:$A86,$A87)+1)</f>
      </c>
      <c r="E87" s="5">
        <f>IF($D87="","",IF(OR($D87=1,AND(Settings!$B$4="Yes",$D87&lt;=Settings!$B$2)),IF(COUNTIFS(Players!$A$2:$A$101,$B87,Players!$B$2:$B$101,"&lt;&gt;")=0,"Add a starting quota",ROUND(SUMIFS(Players!$B$2:$B$101,Players!$A$2:$A$101,$B87),Settings!$B$3)),ROUND(SUMIFS($C$2:$C$501,$B$2:$B$501,$B87,$D$2:$D$501,"&gt;="&amp;($D87-Settings!$B$2),$D$2:$D$501,"&lt;"&amp;$D87)/COUNTIFS($B$2:$B$501,$B87,$D$2:$D$501,"&gt;="&amp;($D87-Settings!$B$2),$D$2:$D$501,"&lt;"&amp;$D87),Settings!$B$3)))</f>
      </c>
      <c r="F87" s="5">
        <f>IF(ISNUMBER($E87),ROUND($C87-$E87,2),"")</f>
      </c>
      <c r="G87" s="5">
        <f>IF(ISNUMBER($F87),COUNTIFS($A$2:$A$501,$A87,$F$2:$F$501,"&gt;"&amp;$F87)+1,"")</f>
      </c>
    </row>
    <row r="88">
      <c r="A88" s="6"/>
      <c r="D88" s="5">
        <f>IF(OR($A88="",$B88="",$C88=""),"",COUNTIFS($B$2:$B$501,$B88,$C$2:$C$501,"&lt;&gt;",$A$2:$A$501,"&lt;"&amp;$A88)+COUNTIFS($B$1:$B87,$B88,$C$1:$C87,"&lt;&gt;",$A$1:$A87,$A88)+1)</f>
      </c>
      <c r="E88" s="5">
        <f>IF($D88="","",IF(OR($D88=1,AND(Settings!$B$4="Yes",$D88&lt;=Settings!$B$2)),IF(COUNTIFS(Players!$A$2:$A$101,$B88,Players!$B$2:$B$101,"&lt;&gt;")=0,"Add a starting quota",ROUND(SUMIFS(Players!$B$2:$B$101,Players!$A$2:$A$101,$B88),Settings!$B$3)),ROUND(SUMIFS($C$2:$C$501,$B$2:$B$501,$B88,$D$2:$D$501,"&gt;="&amp;($D88-Settings!$B$2),$D$2:$D$501,"&lt;"&amp;$D88)/COUNTIFS($B$2:$B$501,$B88,$D$2:$D$501,"&gt;="&amp;($D88-Settings!$B$2),$D$2:$D$501,"&lt;"&amp;$D88),Settings!$B$3)))</f>
      </c>
      <c r="F88" s="5">
        <f>IF(ISNUMBER($E88),ROUND($C88-$E88,2),"")</f>
      </c>
      <c r="G88" s="5">
        <f>IF(ISNUMBER($F88),COUNTIFS($A$2:$A$501,$A88,$F$2:$F$501,"&gt;"&amp;$F88)+1,"")</f>
      </c>
    </row>
    <row r="89">
      <c r="A89" s="6"/>
      <c r="D89" s="5">
        <f>IF(OR($A89="",$B89="",$C89=""),"",COUNTIFS($B$2:$B$501,$B89,$C$2:$C$501,"&lt;&gt;",$A$2:$A$501,"&lt;"&amp;$A89)+COUNTIFS($B$1:$B88,$B89,$C$1:$C88,"&lt;&gt;",$A$1:$A88,$A89)+1)</f>
      </c>
      <c r="E89" s="5">
        <f>IF($D89="","",IF(OR($D89=1,AND(Settings!$B$4="Yes",$D89&lt;=Settings!$B$2)),IF(COUNTIFS(Players!$A$2:$A$101,$B89,Players!$B$2:$B$101,"&lt;&gt;")=0,"Add a starting quota",ROUND(SUMIFS(Players!$B$2:$B$101,Players!$A$2:$A$101,$B89),Settings!$B$3)),ROUND(SUMIFS($C$2:$C$501,$B$2:$B$501,$B89,$D$2:$D$501,"&gt;="&amp;($D89-Settings!$B$2),$D$2:$D$501,"&lt;"&amp;$D89)/COUNTIFS($B$2:$B$501,$B89,$D$2:$D$501,"&gt;="&amp;($D89-Settings!$B$2),$D$2:$D$501,"&lt;"&amp;$D89),Settings!$B$3)))</f>
      </c>
      <c r="F89" s="5">
        <f>IF(ISNUMBER($E89),ROUND($C89-$E89,2),"")</f>
      </c>
      <c r="G89" s="5">
        <f>IF(ISNUMBER($F89),COUNTIFS($A$2:$A$501,$A89,$F$2:$F$501,"&gt;"&amp;$F89)+1,"")</f>
      </c>
    </row>
    <row r="90">
      <c r="A90" s="6"/>
      <c r="D90" s="5">
        <f>IF(OR($A90="",$B90="",$C90=""),"",COUNTIFS($B$2:$B$501,$B90,$C$2:$C$501,"&lt;&gt;",$A$2:$A$501,"&lt;"&amp;$A90)+COUNTIFS($B$1:$B89,$B90,$C$1:$C89,"&lt;&gt;",$A$1:$A89,$A90)+1)</f>
      </c>
      <c r="E90" s="5">
        <f>IF($D90="","",IF(OR($D90=1,AND(Settings!$B$4="Yes",$D90&lt;=Settings!$B$2)),IF(COUNTIFS(Players!$A$2:$A$101,$B90,Players!$B$2:$B$101,"&lt;&gt;")=0,"Add a starting quota",ROUND(SUMIFS(Players!$B$2:$B$101,Players!$A$2:$A$101,$B90),Settings!$B$3)),ROUND(SUMIFS($C$2:$C$501,$B$2:$B$501,$B90,$D$2:$D$501,"&gt;="&amp;($D90-Settings!$B$2),$D$2:$D$501,"&lt;"&amp;$D90)/COUNTIFS($B$2:$B$501,$B90,$D$2:$D$501,"&gt;="&amp;($D90-Settings!$B$2),$D$2:$D$501,"&lt;"&amp;$D90),Settings!$B$3)))</f>
      </c>
      <c r="F90" s="5">
        <f>IF(ISNUMBER($E90),ROUND($C90-$E90,2),"")</f>
      </c>
      <c r="G90" s="5">
        <f>IF(ISNUMBER($F90),COUNTIFS($A$2:$A$501,$A90,$F$2:$F$501,"&gt;"&amp;$F90)+1,"")</f>
      </c>
    </row>
    <row r="91">
      <c r="A91" s="6"/>
      <c r="D91" s="5">
        <f>IF(OR($A91="",$B91="",$C91=""),"",COUNTIFS($B$2:$B$501,$B91,$C$2:$C$501,"&lt;&gt;",$A$2:$A$501,"&lt;"&amp;$A91)+COUNTIFS($B$1:$B90,$B91,$C$1:$C90,"&lt;&gt;",$A$1:$A90,$A91)+1)</f>
      </c>
      <c r="E91" s="5">
        <f>IF($D91="","",IF(OR($D91=1,AND(Settings!$B$4="Yes",$D91&lt;=Settings!$B$2)),IF(COUNTIFS(Players!$A$2:$A$101,$B91,Players!$B$2:$B$101,"&lt;&gt;")=0,"Add a starting quota",ROUND(SUMIFS(Players!$B$2:$B$101,Players!$A$2:$A$101,$B91),Settings!$B$3)),ROUND(SUMIFS($C$2:$C$501,$B$2:$B$501,$B91,$D$2:$D$501,"&gt;="&amp;($D91-Settings!$B$2),$D$2:$D$501,"&lt;"&amp;$D91)/COUNTIFS($B$2:$B$501,$B91,$D$2:$D$501,"&gt;="&amp;($D91-Settings!$B$2),$D$2:$D$501,"&lt;"&amp;$D91),Settings!$B$3)))</f>
      </c>
      <c r="F91" s="5">
        <f>IF(ISNUMBER($E91),ROUND($C91-$E91,2),"")</f>
      </c>
      <c r="G91" s="5">
        <f>IF(ISNUMBER($F91),COUNTIFS($A$2:$A$501,$A91,$F$2:$F$501,"&gt;"&amp;$F91)+1,"")</f>
      </c>
    </row>
    <row r="92">
      <c r="A92" s="6"/>
      <c r="D92" s="5">
        <f>IF(OR($A92="",$B92="",$C92=""),"",COUNTIFS($B$2:$B$501,$B92,$C$2:$C$501,"&lt;&gt;",$A$2:$A$501,"&lt;"&amp;$A92)+COUNTIFS($B$1:$B91,$B92,$C$1:$C91,"&lt;&gt;",$A$1:$A91,$A92)+1)</f>
      </c>
      <c r="E92" s="5">
        <f>IF($D92="","",IF(OR($D92=1,AND(Settings!$B$4="Yes",$D92&lt;=Settings!$B$2)),IF(COUNTIFS(Players!$A$2:$A$101,$B92,Players!$B$2:$B$101,"&lt;&gt;")=0,"Add a starting quota",ROUND(SUMIFS(Players!$B$2:$B$101,Players!$A$2:$A$101,$B92),Settings!$B$3)),ROUND(SUMIFS($C$2:$C$501,$B$2:$B$501,$B92,$D$2:$D$501,"&gt;="&amp;($D92-Settings!$B$2),$D$2:$D$501,"&lt;"&amp;$D92)/COUNTIFS($B$2:$B$501,$B92,$D$2:$D$501,"&gt;="&amp;($D92-Settings!$B$2),$D$2:$D$501,"&lt;"&amp;$D92),Settings!$B$3)))</f>
      </c>
      <c r="F92" s="5">
        <f>IF(ISNUMBER($E92),ROUND($C92-$E92,2),"")</f>
      </c>
      <c r="G92" s="5">
        <f>IF(ISNUMBER($F92),COUNTIFS($A$2:$A$501,$A92,$F$2:$F$501,"&gt;"&amp;$F92)+1,"")</f>
      </c>
    </row>
    <row r="93">
      <c r="A93" s="6"/>
      <c r="D93" s="5">
        <f>IF(OR($A93="",$B93="",$C93=""),"",COUNTIFS($B$2:$B$501,$B93,$C$2:$C$501,"&lt;&gt;",$A$2:$A$501,"&lt;"&amp;$A93)+COUNTIFS($B$1:$B92,$B93,$C$1:$C92,"&lt;&gt;",$A$1:$A92,$A93)+1)</f>
      </c>
      <c r="E93" s="5">
        <f>IF($D93="","",IF(OR($D93=1,AND(Settings!$B$4="Yes",$D93&lt;=Settings!$B$2)),IF(COUNTIFS(Players!$A$2:$A$101,$B93,Players!$B$2:$B$101,"&lt;&gt;")=0,"Add a starting quota",ROUND(SUMIFS(Players!$B$2:$B$101,Players!$A$2:$A$101,$B93),Settings!$B$3)),ROUND(SUMIFS($C$2:$C$501,$B$2:$B$501,$B93,$D$2:$D$501,"&gt;="&amp;($D93-Settings!$B$2),$D$2:$D$501,"&lt;"&amp;$D93)/COUNTIFS($B$2:$B$501,$B93,$D$2:$D$501,"&gt;="&amp;($D93-Settings!$B$2),$D$2:$D$501,"&lt;"&amp;$D93),Settings!$B$3)))</f>
      </c>
      <c r="F93" s="5">
        <f>IF(ISNUMBER($E93),ROUND($C93-$E93,2),"")</f>
      </c>
      <c r="G93" s="5">
        <f>IF(ISNUMBER($F93),COUNTIFS($A$2:$A$501,$A93,$F$2:$F$501,"&gt;"&amp;$F93)+1,"")</f>
      </c>
    </row>
    <row r="94">
      <c r="A94" s="6"/>
      <c r="D94" s="5">
        <f>IF(OR($A94="",$B94="",$C94=""),"",COUNTIFS($B$2:$B$501,$B94,$C$2:$C$501,"&lt;&gt;",$A$2:$A$501,"&lt;"&amp;$A94)+COUNTIFS($B$1:$B93,$B94,$C$1:$C93,"&lt;&gt;",$A$1:$A93,$A94)+1)</f>
      </c>
      <c r="E94" s="5">
        <f>IF($D94="","",IF(OR($D94=1,AND(Settings!$B$4="Yes",$D94&lt;=Settings!$B$2)),IF(COUNTIFS(Players!$A$2:$A$101,$B94,Players!$B$2:$B$101,"&lt;&gt;")=0,"Add a starting quota",ROUND(SUMIFS(Players!$B$2:$B$101,Players!$A$2:$A$101,$B94),Settings!$B$3)),ROUND(SUMIFS($C$2:$C$501,$B$2:$B$501,$B94,$D$2:$D$501,"&gt;="&amp;($D94-Settings!$B$2),$D$2:$D$501,"&lt;"&amp;$D94)/COUNTIFS($B$2:$B$501,$B94,$D$2:$D$501,"&gt;="&amp;($D94-Settings!$B$2),$D$2:$D$501,"&lt;"&amp;$D94),Settings!$B$3)))</f>
      </c>
      <c r="F94" s="5">
        <f>IF(ISNUMBER($E94),ROUND($C94-$E94,2),"")</f>
      </c>
      <c r="G94" s="5">
        <f>IF(ISNUMBER($F94),COUNTIFS($A$2:$A$501,$A94,$F$2:$F$501,"&gt;"&amp;$F94)+1,"")</f>
      </c>
    </row>
    <row r="95">
      <c r="A95" s="6"/>
      <c r="D95" s="5">
        <f>IF(OR($A95="",$B95="",$C95=""),"",COUNTIFS($B$2:$B$501,$B95,$C$2:$C$501,"&lt;&gt;",$A$2:$A$501,"&lt;"&amp;$A95)+COUNTIFS($B$1:$B94,$B95,$C$1:$C94,"&lt;&gt;",$A$1:$A94,$A95)+1)</f>
      </c>
      <c r="E95" s="5">
        <f>IF($D95="","",IF(OR($D95=1,AND(Settings!$B$4="Yes",$D95&lt;=Settings!$B$2)),IF(COUNTIFS(Players!$A$2:$A$101,$B95,Players!$B$2:$B$101,"&lt;&gt;")=0,"Add a starting quota",ROUND(SUMIFS(Players!$B$2:$B$101,Players!$A$2:$A$101,$B95),Settings!$B$3)),ROUND(SUMIFS($C$2:$C$501,$B$2:$B$501,$B95,$D$2:$D$501,"&gt;="&amp;($D95-Settings!$B$2),$D$2:$D$501,"&lt;"&amp;$D95)/COUNTIFS($B$2:$B$501,$B95,$D$2:$D$501,"&gt;="&amp;($D95-Settings!$B$2),$D$2:$D$501,"&lt;"&amp;$D95),Settings!$B$3)))</f>
      </c>
      <c r="F95" s="5">
        <f>IF(ISNUMBER($E95),ROUND($C95-$E95,2),"")</f>
      </c>
      <c r="G95" s="5">
        <f>IF(ISNUMBER($F95),COUNTIFS($A$2:$A$501,$A95,$F$2:$F$501,"&gt;"&amp;$F95)+1,"")</f>
      </c>
    </row>
    <row r="96">
      <c r="A96" s="6"/>
      <c r="D96" s="5">
        <f>IF(OR($A96="",$B96="",$C96=""),"",COUNTIFS($B$2:$B$501,$B96,$C$2:$C$501,"&lt;&gt;",$A$2:$A$501,"&lt;"&amp;$A96)+COUNTIFS($B$1:$B95,$B96,$C$1:$C95,"&lt;&gt;",$A$1:$A95,$A96)+1)</f>
      </c>
      <c r="E96" s="5">
        <f>IF($D96="","",IF(OR($D96=1,AND(Settings!$B$4="Yes",$D96&lt;=Settings!$B$2)),IF(COUNTIFS(Players!$A$2:$A$101,$B96,Players!$B$2:$B$101,"&lt;&gt;")=0,"Add a starting quota",ROUND(SUMIFS(Players!$B$2:$B$101,Players!$A$2:$A$101,$B96),Settings!$B$3)),ROUND(SUMIFS($C$2:$C$501,$B$2:$B$501,$B96,$D$2:$D$501,"&gt;="&amp;($D96-Settings!$B$2),$D$2:$D$501,"&lt;"&amp;$D96)/COUNTIFS($B$2:$B$501,$B96,$D$2:$D$501,"&gt;="&amp;($D96-Settings!$B$2),$D$2:$D$501,"&lt;"&amp;$D96),Settings!$B$3)))</f>
      </c>
      <c r="F96" s="5">
        <f>IF(ISNUMBER($E96),ROUND($C96-$E96,2),"")</f>
      </c>
      <c r="G96" s="5">
        <f>IF(ISNUMBER($F96),COUNTIFS($A$2:$A$501,$A96,$F$2:$F$501,"&gt;"&amp;$F96)+1,"")</f>
      </c>
    </row>
    <row r="97">
      <c r="A97" s="6"/>
      <c r="D97" s="5">
        <f>IF(OR($A97="",$B97="",$C97=""),"",COUNTIFS($B$2:$B$501,$B97,$C$2:$C$501,"&lt;&gt;",$A$2:$A$501,"&lt;"&amp;$A97)+COUNTIFS($B$1:$B96,$B97,$C$1:$C96,"&lt;&gt;",$A$1:$A96,$A97)+1)</f>
      </c>
      <c r="E97" s="5">
        <f>IF($D97="","",IF(OR($D97=1,AND(Settings!$B$4="Yes",$D97&lt;=Settings!$B$2)),IF(COUNTIFS(Players!$A$2:$A$101,$B97,Players!$B$2:$B$101,"&lt;&gt;")=0,"Add a starting quota",ROUND(SUMIFS(Players!$B$2:$B$101,Players!$A$2:$A$101,$B97),Settings!$B$3)),ROUND(SUMIFS($C$2:$C$501,$B$2:$B$501,$B97,$D$2:$D$501,"&gt;="&amp;($D97-Settings!$B$2),$D$2:$D$501,"&lt;"&amp;$D97)/COUNTIFS($B$2:$B$501,$B97,$D$2:$D$501,"&gt;="&amp;($D97-Settings!$B$2),$D$2:$D$501,"&lt;"&amp;$D97),Settings!$B$3)))</f>
      </c>
      <c r="F97" s="5">
        <f>IF(ISNUMBER($E97),ROUND($C97-$E97,2),"")</f>
      </c>
      <c r="G97" s="5">
        <f>IF(ISNUMBER($F97),COUNTIFS($A$2:$A$501,$A97,$F$2:$F$501,"&gt;"&amp;$F97)+1,"")</f>
      </c>
    </row>
    <row r="98">
      <c r="A98" s="6"/>
      <c r="D98" s="5">
        <f>IF(OR($A98="",$B98="",$C98=""),"",COUNTIFS($B$2:$B$501,$B98,$C$2:$C$501,"&lt;&gt;",$A$2:$A$501,"&lt;"&amp;$A98)+COUNTIFS($B$1:$B97,$B98,$C$1:$C97,"&lt;&gt;",$A$1:$A97,$A98)+1)</f>
      </c>
      <c r="E98" s="5">
        <f>IF($D98="","",IF(OR($D98=1,AND(Settings!$B$4="Yes",$D98&lt;=Settings!$B$2)),IF(COUNTIFS(Players!$A$2:$A$101,$B98,Players!$B$2:$B$101,"&lt;&gt;")=0,"Add a starting quota",ROUND(SUMIFS(Players!$B$2:$B$101,Players!$A$2:$A$101,$B98),Settings!$B$3)),ROUND(SUMIFS($C$2:$C$501,$B$2:$B$501,$B98,$D$2:$D$501,"&gt;="&amp;($D98-Settings!$B$2),$D$2:$D$501,"&lt;"&amp;$D98)/COUNTIFS($B$2:$B$501,$B98,$D$2:$D$501,"&gt;="&amp;($D98-Settings!$B$2),$D$2:$D$501,"&lt;"&amp;$D98),Settings!$B$3)))</f>
      </c>
      <c r="F98" s="5">
        <f>IF(ISNUMBER($E98),ROUND($C98-$E98,2),"")</f>
      </c>
      <c r="G98" s="5">
        <f>IF(ISNUMBER($F98),COUNTIFS($A$2:$A$501,$A98,$F$2:$F$501,"&gt;"&amp;$F98)+1,"")</f>
      </c>
    </row>
    <row r="99">
      <c r="A99" s="6"/>
      <c r="D99" s="5">
        <f>IF(OR($A99="",$B99="",$C99=""),"",COUNTIFS($B$2:$B$501,$B99,$C$2:$C$501,"&lt;&gt;",$A$2:$A$501,"&lt;"&amp;$A99)+COUNTIFS($B$1:$B98,$B99,$C$1:$C98,"&lt;&gt;",$A$1:$A98,$A99)+1)</f>
      </c>
      <c r="E99" s="5">
        <f>IF($D99="","",IF(OR($D99=1,AND(Settings!$B$4="Yes",$D99&lt;=Settings!$B$2)),IF(COUNTIFS(Players!$A$2:$A$101,$B99,Players!$B$2:$B$101,"&lt;&gt;")=0,"Add a starting quota",ROUND(SUMIFS(Players!$B$2:$B$101,Players!$A$2:$A$101,$B99),Settings!$B$3)),ROUND(SUMIFS($C$2:$C$501,$B$2:$B$501,$B99,$D$2:$D$501,"&gt;="&amp;($D99-Settings!$B$2),$D$2:$D$501,"&lt;"&amp;$D99)/COUNTIFS($B$2:$B$501,$B99,$D$2:$D$501,"&gt;="&amp;($D99-Settings!$B$2),$D$2:$D$501,"&lt;"&amp;$D99),Settings!$B$3)))</f>
      </c>
      <c r="F99" s="5">
        <f>IF(ISNUMBER($E99),ROUND($C99-$E99,2),"")</f>
      </c>
      <c r="G99" s="5">
        <f>IF(ISNUMBER($F99),COUNTIFS($A$2:$A$501,$A99,$F$2:$F$501,"&gt;"&amp;$F99)+1,"")</f>
      </c>
    </row>
    <row r="100">
      <c r="A100" s="6"/>
      <c r="D100" s="5">
        <f>IF(OR($A100="",$B100="",$C100=""),"",COUNTIFS($B$2:$B$501,$B100,$C$2:$C$501,"&lt;&gt;",$A$2:$A$501,"&lt;"&amp;$A100)+COUNTIFS($B$1:$B99,$B100,$C$1:$C99,"&lt;&gt;",$A$1:$A99,$A100)+1)</f>
      </c>
      <c r="E100" s="5">
        <f>IF($D100="","",IF(OR($D100=1,AND(Settings!$B$4="Yes",$D100&lt;=Settings!$B$2)),IF(COUNTIFS(Players!$A$2:$A$101,$B100,Players!$B$2:$B$101,"&lt;&gt;")=0,"Add a starting quota",ROUND(SUMIFS(Players!$B$2:$B$101,Players!$A$2:$A$101,$B100),Settings!$B$3)),ROUND(SUMIFS($C$2:$C$501,$B$2:$B$501,$B100,$D$2:$D$501,"&gt;="&amp;($D100-Settings!$B$2),$D$2:$D$501,"&lt;"&amp;$D100)/COUNTIFS($B$2:$B$501,$B100,$D$2:$D$501,"&gt;="&amp;($D100-Settings!$B$2),$D$2:$D$501,"&lt;"&amp;$D100),Settings!$B$3)))</f>
      </c>
      <c r="F100" s="5">
        <f>IF(ISNUMBER($E100),ROUND($C100-$E100,2),"")</f>
      </c>
      <c r="G100" s="5">
        <f>IF(ISNUMBER($F100),COUNTIFS($A$2:$A$501,$A100,$F$2:$F$501,"&gt;"&amp;$F100)+1,"")</f>
      </c>
    </row>
    <row r="101">
      <c r="A101" s="6"/>
      <c r="D101" s="5">
        <f>IF(OR($A101="",$B101="",$C101=""),"",COUNTIFS($B$2:$B$501,$B101,$C$2:$C$501,"&lt;&gt;",$A$2:$A$501,"&lt;"&amp;$A101)+COUNTIFS($B$1:$B100,$B101,$C$1:$C100,"&lt;&gt;",$A$1:$A100,$A101)+1)</f>
      </c>
      <c r="E101" s="5">
        <f>IF($D101="","",IF(OR($D101=1,AND(Settings!$B$4="Yes",$D101&lt;=Settings!$B$2)),IF(COUNTIFS(Players!$A$2:$A$101,$B101,Players!$B$2:$B$101,"&lt;&gt;")=0,"Add a starting quota",ROUND(SUMIFS(Players!$B$2:$B$101,Players!$A$2:$A$101,$B101),Settings!$B$3)),ROUND(SUMIFS($C$2:$C$501,$B$2:$B$501,$B101,$D$2:$D$501,"&gt;="&amp;($D101-Settings!$B$2),$D$2:$D$501,"&lt;"&amp;$D101)/COUNTIFS($B$2:$B$501,$B101,$D$2:$D$501,"&gt;="&amp;($D101-Settings!$B$2),$D$2:$D$501,"&lt;"&amp;$D101),Settings!$B$3)))</f>
      </c>
      <c r="F101" s="5">
        <f>IF(ISNUMBER($E101),ROUND($C101-$E101,2),"")</f>
      </c>
      <c r="G101" s="5">
        <f>IF(ISNUMBER($F101),COUNTIFS($A$2:$A$501,$A101,$F$2:$F$501,"&gt;"&amp;$F101)+1,"")</f>
      </c>
    </row>
    <row r="102">
      <c r="A102" s="6"/>
      <c r="D102" s="5">
        <f>IF(OR($A102="",$B102="",$C102=""),"",COUNTIFS($B$2:$B$501,$B102,$C$2:$C$501,"&lt;&gt;",$A$2:$A$501,"&lt;"&amp;$A102)+COUNTIFS($B$1:$B101,$B102,$C$1:$C101,"&lt;&gt;",$A$1:$A101,$A102)+1)</f>
      </c>
      <c r="E102" s="5">
        <f>IF($D102="","",IF(OR($D102=1,AND(Settings!$B$4="Yes",$D102&lt;=Settings!$B$2)),IF(COUNTIFS(Players!$A$2:$A$101,$B102,Players!$B$2:$B$101,"&lt;&gt;")=0,"Add a starting quota",ROUND(SUMIFS(Players!$B$2:$B$101,Players!$A$2:$A$101,$B102),Settings!$B$3)),ROUND(SUMIFS($C$2:$C$501,$B$2:$B$501,$B102,$D$2:$D$501,"&gt;="&amp;($D102-Settings!$B$2),$D$2:$D$501,"&lt;"&amp;$D102)/COUNTIFS($B$2:$B$501,$B102,$D$2:$D$501,"&gt;="&amp;($D102-Settings!$B$2),$D$2:$D$501,"&lt;"&amp;$D102),Settings!$B$3)))</f>
      </c>
      <c r="F102" s="5">
        <f>IF(ISNUMBER($E102),ROUND($C102-$E102,2),"")</f>
      </c>
      <c r="G102" s="5">
        <f>IF(ISNUMBER($F102),COUNTIFS($A$2:$A$501,$A102,$F$2:$F$501,"&gt;"&amp;$F102)+1,"")</f>
      </c>
    </row>
    <row r="103">
      <c r="A103" s="6"/>
      <c r="D103" s="5">
        <f>IF(OR($A103="",$B103="",$C103=""),"",COUNTIFS($B$2:$B$501,$B103,$C$2:$C$501,"&lt;&gt;",$A$2:$A$501,"&lt;"&amp;$A103)+COUNTIFS($B$1:$B102,$B103,$C$1:$C102,"&lt;&gt;",$A$1:$A102,$A103)+1)</f>
      </c>
      <c r="E103" s="5">
        <f>IF($D103="","",IF(OR($D103=1,AND(Settings!$B$4="Yes",$D103&lt;=Settings!$B$2)),IF(COUNTIFS(Players!$A$2:$A$101,$B103,Players!$B$2:$B$101,"&lt;&gt;")=0,"Add a starting quota",ROUND(SUMIFS(Players!$B$2:$B$101,Players!$A$2:$A$101,$B103),Settings!$B$3)),ROUND(SUMIFS($C$2:$C$501,$B$2:$B$501,$B103,$D$2:$D$501,"&gt;="&amp;($D103-Settings!$B$2),$D$2:$D$501,"&lt;"&amp;$D103)/COUNTIFS($B$2:$B$501,$B103,$D$2:$D$501,"&gt;="&amp;($D103-Settings!$B$2),$D$2:$D$501,"&lt;"&amp;$D103),Settings!$B$3)))</f>
      </c>
      <c r="F103" s="5">
        <f>IF(ISNUMBER($E103),ROUND($C103-$E103,2),"")</f>
      </c>
      <c r="G103" s="5">
        <f>IF(ISNUMBER($F103),COUNTIFS($A$2:$A$501,$A103,$F$2:$F$501,"&gt;"&amp;$F103)+1,"")</f>
      </c>
    </row>
    <row r="104">
      <c r="A104" s="6"/>
      <c r="D104" s="5">
        <f>IF(OR($A104="",$B104="",$C104=""),"",COUNTIFS($B$2:$B$501,$B104,$C$2:$C$501,"&lt;&gt;",$A$2:$A$501,"&lt;"&amp;$A104)+COUNTIFS($B$1:$B103,$B104,$C$1:$C103,"&lt;&gt;",$A$1:$A103,$A104)+1)</f>
      </c>
      <c r="E104" s="5">
        <f>IF($D104="","",IF(OR($D104=1,AND(Settings!$B$4="Yes",$D104&lt;=Settings!$B$2)),IF(COUNTIFS(Players!$A$2:$A$101,$B104,Players!$B$2:$B$101,"&lt;&gt;")=0,"Add a starting quota",ROUND(SUMIFS(Players!$B$2:$B$101,Players!$A$2:$A$101,$B104),Settings!$B$3)),ROUND(SUMIFS($C$2:$C$501,$B$2:$B$501,$B104,$D$2:$D$501,"&gt;="&amp;($D104-Settings!$B$2),$D$2:$D$501,"&lt;"&amp;$D104)/COUNTIFS($B$2:$B$501,$B104,$D$2:$D$501,"&gt;="&amp;($D104-Settings!$B$2),$D$2:$D$501,"&lt;"&amp;$D104),Settings!$B$3)))</f>
      </c>
      <c r="F104" s="5">
        <f>IF(ISNUMBER($E104),ROUND($C104-$E104,2),"")</f>
      </c>
      <c r="G104" s="5">
        <f>IF(ISNUMBER($F104),COUNTIFS($A$2:$A$501,$A104,$F$2:$F$501,"&gt;"&amp;$F104)+1,"")</f>
      </c>
    </row>
    <row r="105">
      <c r="A105" s="6"/>
      <c r="D105" s="5">
        <f>IF(OR($A105="",$B105="",$C105=""),"",COUNTIFS($B$2:$B$501,$B105,$C$2:$C$501,"&lt;&gt;",$A$2:$A$501,"&lt;"&amp;$A105)+COUNTIFS($B$1:$B104,$B105,$C$1:$C104,"&lt;&gt;",$A$1:$A104,$A105)+1)</f>
      </c>
      <c r="E105" s="5">
        <f>IF($D105="","",IF(OR($D105=1,AND(Settings!$B$4="Yes",$D105&lt;=Settings!$B$2)),IF(COUNTIFS(Players!$A$2:$A$101,$B105,Players!$B$2:$B$101,"&lt;&gt;")=0,"Add a starting quota",ROUND(SUMIFS(Players!$B$2:$B$101,Players!$A$2:$A$101,$B105),Settings!$B$3)),ROUND(SUMIFS($C$2:$C$501,$B$2:$B$501,$B105,$D$2:$D$501,"&gt;="&amp;($D105-Settings!$B$2),$D$2:$D$501,"&lt;"&amp;$D105)/COUNTIFS($B$2:$B$501,$B105,$D$2:$D$501,"&gt;="&amp;($D105-Settings!$B$2),$D$2:$D$501,"&lt;"&amp;$D105),Settings!$B$3)))</f>
      </c>
      <c r="F105" s="5">
        <f>IF(ISNUMBER($E105),ROUND($C105-$E105,2),"")</f>
      </c>
      <c r="G105" s="5">
        <f>IF(ISNUMBER($F105),COUNTIFS($A$2:$A$501,$A105,$F$2:$F$501,"&gt;"&amp;$F105)+1,"")</f>
      </c>
    </row>
    <row r="106">
      <c r="A106" s="6"/>
      <c r="D106" s="5">
        <f>IF(OR($A106="",$B106="",$C106=""),"",COUNTIFS($B$2:$B$501,$B106,$C$2:$C$501,"&lt;&gt;",$A$2:$A$501,"&lt;"&amp;$A106)+COUNTIFS($B$1:$B105,$B106,$C$1:$C105,"&lt;&gt;",$A$1:$A105,$A106)+1)</f>
      </c>
      <c r="E106" s="5">
        <f>IF($D106="","",IF(OR($D106=1,AND(Settings!$B$4="Yes",$D106&lt;=Settings!$B$2)),IF(COUNTIFS(Players!$A$2:$A$101,$B106,Players!$B$2:$B$101,"&lt;&gt;")=0,"Add a starting quota",ROUND(SUMIFS(Players!$B$2:$B$101,Players!$A$2:$A$101,$B106),Settings!$B$3)),ROUND(SUMIFS($C$2:$C$501,$B$2:$B$501,$B106,$D$2:$D$501,"&gt;="&amp;($D106-Settings!$B$2),$D$2:$D$501,"&lt;"&amp;$D106)/COUNTIFS($B$2:$B$501,$B106,$D$2:$D$501,"&gt;="&amp;($D106-Settings!$B$2),$D$2:$D$501,"&lt;"&amp;$D106),Settings!$B$3)))</f>
      </c>
      <c r="F106" s="5">
        <f>IF(ISNUMBER($E106),ROUND($C106-$E106,2),"")</f>
      </c>
      <c r="G106" s="5">
        <f>IF(ISNUMBER($F106),COUNTIFS($A$2:$A$501,$A106,$F$2:$F$501,"&gt;"&amp;$F106)+1,"")</f>
      </c>
    </row>
    <row r="107">
      <c r="A107" s="6"/>
      <c r="D107" s="5">
        <f>IF(OR($A107="",$B107="",$C107=""),"",COUNTIFS($B$2:$B$501,$B107,$C$2:$C$501,"&lt;&gt;",$A$2:$A$501,"&lt;"&amp;$A107)+COUNTIFS($B$1:$B106,$B107,$C$1:$C106,"&lt;&gt;",$A$1:$A106,$A107)+1)</f>
      </c>
      <c r="E107" s="5">
        <f>IF($D107="","",IF(OR($D107=1,AND(Settings!$B$4="Yes",$D107&lt;=Settings!$B$2)),IF(COUNTIFS(Players!$A$2:$A$101,$B107,Players!$B$2:$B$101,"&lt;&gt;")=0,"Add a starting quota",ROUND(SUMIFS(Players!$B$2:$B$101,Players!$A$2:$A$101,$B107),Settings!$B$3)),ROUND(SUMIFS($C$2:$C$501,$B$2:$B$501,$B107,$D$2:$D$501,"&gt;="&amp;($D107-Settings!$B$2),$D$2:$D$501,"&lt;"&amp;$D107)/COUNTIFS($B$2:$B$501,$B107,$D$2:$D$501,"&gt;="&amp;($D107-Settings!$B$2),$D$2:$D$501,"&lt;"&amp;$D107),Settings!$B$3)))</f>
      </c>
      <c r="F107" s="5">
        <f>IF(ISNUMBER($E107),ROUND($C107-$E107,2),"")</f>
      </c>
      <c r="G107" s="5">
        <f>IF(ISNUMBER($F107),COUNTIFS($A$2:$A$501,$A107,$F$2:$F$501,"&gt;"&amp;$F107)+1,"")</f>
      </c>
    </row>
    <row r="108">
      <c r="A108" s="6"/>
      <c r="D108" s="5">
        <f>IF(OR($A108="",$B108="",$C108=""),"",COUNTIFS($B$2:$B$501,$B108,$C$2:$C$501,"&lt;&gt;",$A$2:$A$501,"&lt;"&amp;$A108)+COUNTIFS($B$1:$B107,$B108,$C$1:$C107,"&lt;&gt;",$A$1:$A107,$A108)+1)</f>
      </c>
      <c r="E108" s="5">
        <f>IF($D108="","",IF(OR($D108=1,AND(Settings!$B$4="Yes",$D108&lt;=Settings!$B$2)),IF(COUNTIFS(Players!$A$2:$A$101,$B108,Players!$B$2:$B$101,"&lt;&gt;")=0,"Add a starting quota",ROUND(SUMIFS(Players!$B$2:$B$101,Players!$A$2:$A$101,$B108),Settings!$B$3)),ROUND(SUMIFS($C$2:$C$501,$B$2:$B$501,$B108,$D$2:$D$501,"&gt;="&amp;($D108-Settings!$B$2),$D$2:$D$501,"&lt;"&amp;$D108)/COUNTIFS($B$2:$B$501,$B108,$D$2:$D$501,"&gt;="&amp;($D108-Settings!$B$2),$D$2:$D$501,"&lt;"&amp;$D108),Settings!$B$3)))</f>
      </c>
      <c r="F108" s="5">
        <f>IF(ISNUMBER($E108),ROUND($C108-$E108,2),"")</f>
      </c>
      <c r="G108" s="5">
        <f>IF(ISNUMBER($F108),COUNTIFS($A$2:$A$501,$A108,$F$2:$F$501,"&gt;"&amp;$F108)+1,"")</f>
      </c>
    </row>
    <row r="109">
      <c r="A109" s="6"/>
      <c r="D109" s="5">
        <f>IF(OR($A109="",$B109="",$C109=""),"",COUNTIFS($B$2:$B$501,$B109,$C$2:$C$501,"&lt;&gt;",$A$2:$A$501,"&lt;"&amp;$A109)+COUNTIFS($B$1:$B108,$B109,$C$1:$C108,"&lt;&gt;",$A$1:$A108,$A109)+1)</f>
      </c>
      <c r="E109" s="5">
        <f>IF($D109="","",IF(OR($D109=1,AND(Settings!$B$4="Yes",$D109&lt;=Settings!$B$2)),IF(COUNTIFS(Players!$A$2:$A$101,$B109,Players!$B$2:$B$101,"&lt;&gt;")=0,"Add a starting quota",ROUND(SUMIFS(Players!$B$2:$B$101,Players!$A$2:$A$101,$B109),Settings!$B$3)),ROUND(SUMIFS($C$2:$C$501,$B$2:$B$501,$B109,$D$2:$D$501,"&gt;="&amp;($D109-Settings!$B$2),$D$2:$D$501,"&lt;"&amp;$D109)/COUNTIFS($B$2:$B$501,$B109,$D$2:$D$501,"&gt;="&amp;($D109-Settings!$B$2),$D$2:$D$501,"&lt;"&amp;$D109),Settings!$B$3)))</f>
      </c>
      <c r="F109" s="5">
        <f>IF(ISNUMBER($E109),ROUND($C109-$E109,2),"")</f>
      </c>
      <c r="G109" s="5">
        <f>IF(ISNUMBER($F109),COUNTIFS($A$2:$A$501,$A109,$F$2:$F$501,"&gt;"&amp;$F109)+1,"")</f>
      </c>
    </row>
    <row r="110">
      <c r="A110" s="6"/>
      <c r="D110" s="5">
        <f>IF(OR($A110="",$B110="",$C110=""),"",COUNTIFS($B$2:$B$501,$B110,$C$2:$C$501,"&lt;&gt;",$A$2:$A$501,"&lt;"&amp;$A110)+COUNTIFS($B$1:$B109,$B110,$C$1:$C109,"&lt;&gt;",$A$1:$A109,$A110)+1)</f>
      </c>
      <c r="E110" s="5">
        <f>IF($D110="","",IF(OR($D110=1,AND(Settings!$B$4="Yes",$D110&lt;=Settings!$B$2)),IF(COUNTIFS(Players!$A$2:$A$101,$B110,Players!$B$2:$B$101,"&lt;&gt;")=0,"Add a starting quota",ROUND(SUMIFS(Players!$B$2:$B$101,Players!$A$2:$A$101,$B110),Settings!$B$3)),ROUND(SUMIFS($C$2:$C$501,$B$2:$B$501,$B110,$D$2:$D$501,"&gt;="&amp;($D110-Settings!$B$2),$D$2:$D$501,"&lt;"&amp;$D110)/COUNTIFS($B$2:$B$501,$B110,$D$2:$D$501,"&gt;="&amp;($D110-Settings!$B$2),$D$2:$D$501,"&lt;"&amp;$D110),Settings!$B$3)))</f>
      </c>
      <c r="F110" s="5">
        <f>IF(ISNUMBER($E110),ROUND($C110-$E110,2),"")</f>
      </c>
      <c r="G110" s="5">
        <f>IF(ISNUMBER($F110),COUNTIFS($A$2:$A$501,$A110,$F$2:$F$501,"&gt;"&amp;$F110)+1,"")</f>
      </c>
    </row>
    <row r="111">
      <c r="A111" s="6"/>
      <c r="D111" s="5">
        <f>IF(OR($A111="",$B111="",$C111=""),"",COUNTIFS($B$2:$B$501,$B111,$C$2:$C$501,"&lt;&gt;",$A$2:$A$501,"&lt;"&amp;$A111)+COUNTIFS($B$1:$B110,$B111,$C$1:$C110,"&lt;&gt;",$A$1:$A110,$A111)+1)</f>
      </c>
      <c r="E111" s="5">
        <f>IF($D111="","",IF(OR($D111=1,AND(Settings!$B$4="Yes",$D111&lt;=Settings!$B$2)),IF(COUNTIFS(Players!$A$2:$A$101,$B111,Players!$B$2:$B$101,"&lt;&gt;")=0,"Add a starting quota",ROUND(SUMIFS(Players!$B$2:$B$101,Players!$A$2:$A$101,$B111),Settings!$B$3)),ROUND(SUMIFS($C$2:$C$501,$B$2:$B$501,$B111,$D$2:$D$501,"&gt;="&amp;($D111-Settings!$B$2),$D$2:$D$501,"&lt;"&amp;$D111)/COUNTIFS($B$2:$B$501,$B111,$D$2:$D$501,"&gt;="&amp;($D111-Settings!$B$2),$D$2:$D$501,"&lt;"&amp;$D111),Settings!$B$3)))</f>
      </c>
      <c r="F111" s="5">
        <f>IF(ISNUMBER($E111),ROUND($C111-$E111,2),"")</f>
      </c>
      <c r="G111" s="5">
        <f>IF(ISNUMBER($F111),COUNTIFS($A$2:$A$501,$A111,$F$2:$F$501,"&gt;"&amp;$F111)+1,"")</f>
      </c>
    </row>
    <row r="112">
      <c r="A112" s="6"/>
      <c r="D112" s="5">
        <f>IF(OR($A112="",$B112="",$C112=""),"",COUNTIFS($B$2:$B$501,$B112,$C$2:$C$501,"&lt;&gt;",$A$2:$A$501,"&lt;"&amp;$A112)+COUNTIFS($B$1:$B111,$B112,$C$1:$C111,"&lt;&gt;",$A$1:$A111,$A112)+1)</f>
      </c>
      <c r="E112" s="5">
        <f>IF($D112="","",IF(OR($D112=1,AND(Settings!$B$4="Yes",$D112&lt;=Settings!$B$2)),IF(COUNTIFS(Players!$A$2:$A$101,$B112,Players!$B$2:$B$101,"&lt;&gt;")=0,"Add a starting quota",ROUND(SUMIFS(Players!$B$2:$B$101,Players!$A$2:$A$101,$B112),Settings!$B$3)),ROUND(SUMIFS($C$2:$C$501,$B$2:$B$501,$B112,$D$2:$D$501,"&gt;="&amp;($D112-Settings!$B$2),$D$2:$D$501,"&lt;"&amp;$D112)/COUNTIFS($B$2:$B$501,$B112,$D$2:$D$501,"&gt;="&amp;($D112-Settings!$B$2),$D$2:$D$501,"&lt;"&amp;$D112),Settings!$B$3)))</f>
      </c>
      <c r="F112" s="5">
        <f>IF(ISNUMBER($E112),ROUND($C112-$E112,2),"")</f>
      </c>
      <c r="G112" s="5">
        <f>IF(ISNUMBER($F112),COUNTIFS($A$2:$A$501,$A112,$F$2:$F$501,"&gt;"&amp;$F112)+1,"")</f>
      </c>
    </row>
    <row r="113">
      <c r="A113" s="6"/>
      <c r="D113" s="5">
        <f>IF(OR($A113="",$B113="",$C113=""),"",COUNTIFS($B$2:$B$501,$B113,$C$2:$C$501,"&lt;&gt;",$A$2:$A$501,"&lt;"&amp;$A113)+COUNTIFS($B$1:$B112,$B113,$C$1:$C112,"&lt;&gt;",$A$1:$A112,$A113)+1)</f>
      </c>
      <c r="E113" s="5">
        <f>IF($D113="","",IF(OR($D113=1,AND(Settings!$B$4="Yes",$D113&lt;=Settings!$B$2)),IF(COUNTIFS(Players!$A$2:$A$101,$B113,Players!$B$2:$B$101,"&lt;&gt;")=0,"Add a starting quota",ROUND(SUMIFS(Players!$B$2:$B$101,Players!$A$2:$A$101,$B113),Settings!$B$3)),ROUND(SUMIFS($C$2:$C$501,$B$2:$B$501,$B113,$D$2:$D$501,"&gt;="&amp;($D113-Settings!$B$2),$D$2:$D$501,"&lt;"&amp;$D113)/COUNTIFS($B$2:$B$501,$B113,$D$2:$D$501,"&gt;="&amp;($D113-Settings!$B$2),$D$2:$D$501,"&lt;"&amp;$D113),Settings!$B$3)))</f>
      </c>
      <c r="F113" s="5">
        <f>IF(ISNUMBER($E113),ROUND($C113-$E113,2),"")</f>
      </c>
      <c r="G113" s="5">
        <f>IF(ISNUMBER($F113),COUNTIFS($A$2:$A$501,$A113,$F$2:$F$501,"&gt;"&amp;$F113)+1,"")</f>
      </c>
    </row>
    <row r="114">
      <c r="A114" s="6"/>
      <c r="D114" s="5">
        <f>IF(OR($A114="",$B114="",$C114=""),"",COUNTIFS($B$2:$B$501,$B114,$C$2:$C$501,"&lt;&gt;",$A$2:$A$501,"&lt;"&amp;$A114)+COUNTIFS($B$1:$B113,$B114,$C$1:$C113,"&lt;&gt;",$A$1:$A113,$A114)+1)</f>
      </c>
      <c r="E114" s="5">
        <f>IF($D114="","",IF(OR($D114=1,AND(Settings!$B$4="Yes",$D114&lt;=Settings!$B$2)),IF(COUNTIFS(Players!$A$2:$A$101,$B114,Players!$B$2:$B$101,"&lt;&gt;")=0,"Add a starting quota",ROUND(SUMIFS(Players!$B$2:$B$101,Players!$A$2:$A$101,$B114),Settings!$B$3)),ROUND(SUMIFS($C$2:$C$501,$B$2:$B$501,$B114,$D$2:$D$501,"&gt;="&amp;($D114-Settings!$B$2),$D$2:$D$501,"&lt;"&amp;$D114)/COUNTIFS($B$2:$B$501,$B114,$D$2:$D$501,"&gt;="&amp;($D114-Settings!$B$2),$D$2:$D$501,"&lt;"&amp;$D114),Settings!$B$3)))</f>
      </c>
      <c r="F114" s="5">
        <f>IF(ISNUMBER($E114),ROUND($C114-$E114,2),"")</f>
      </c>
      <c r="G114" s="5">
        <f>IF(ISNUMBER($F114),COUNTIFS($A$2:$A$501,$A114,$F$2:$F$501,"&gt;"&amp;$F114)+1,"")</f>
      </c>
    </row>
    <row r="115">
      <c r="A115" s="6"/>
      <c r="D115" s="5">
        <f>IF(OR($A115="",$B115="",$C115=""),"",COUNTIFS($B$2:$B$501,$B115,$C$2:$C$501,"&lt;&gt;",$A$2:$A$501,"&lt;"&amp;$A115)+COUNTIFS($B$1:$B114,$B115,$C$1:$C114,"&lt;&gt;",$A$1:$A114,$A115)+1)</f>
      </c>
      <c r="E115" s="5">
        <f>IF($D115="","",IF(OR($D115=1,AND(Settings!$B$4="Yes",$D115&lt;=Settings!$B$2)),IF(COUNTIFS(Players!$A$2:$A$101,$B115,Players!$B$2:$B$101,"&lt;&gt;")=0,"Add a starting quota",ROUND(SUMIFS(Players!$B$2:$B$101,Players!$A$2:$A$101,$B115),Settings!$B$3)),ROUND(SUMIFS($C$2:$C$501,$B$2:$B$501,$B115,$D$2:$D$501,"&gt;="&amp;($D115-Settings!$B$2),$D$2:$D$501,"&lt;"&amp;$D115)/COUNTIFS($B$2:$B$501,$B115,$D$2:$D$501,"&gt;="&amp;($D115-Settings!$B$2),$D$2:$D$501,"&lt;"&amp;$D115),Settings!$B$3)))</f>
      </c>
      <c r="F115" s="5">
        <f>IF(ISNUMBER($E115),ROUND($C115-$E115,2),"")</f>
      </c>
      <c r="G115" s="5">
        <f>IF(ISNUMBER($F115),COUNTIFS($A$2:$A$501,$A115,$F$2:$F$501,"&gt;"&amp;$F115)+1,"")</f>
      </c>
    </row>
    <row r="116">
      <c r="A116" s="6"/>
      <c r="D116" s="5">
        <f>IF(OR($A116="",$B116="",$C116=""),"",COUNTIFS($B$2:$B$501,$B116,$C$2:$C$501,"&lt;&gt;",$A$2:$A$501,"&lt;"&amp;$A116)+COUNTIFS($B$1:$B115,$B116,$C$1:$C115,"&lt;&gt;",$A$1:$A115,$A116)+1)</f>
      </c>
      <c r="E116" s="5">
        <f>IF($D116="","",IF(OR($D116=1,AND(Settings!$B$4="Yes",$D116&lt;=Settings!$B$2)),IF(COUNTIFS(Players!$A$2:$A$101,$B116,Players!$B$2:$B$101,"&lt;&gt;")=0,"Add a starting quota",ROUND(SUMIFS(Players!$B$2:$B$101,Players!$A$2:$A$101,$B116),Settings!$B$3)),ROUND(SUMIFS($C$2:$C$501,$B$2:$B$501,$B116,$D$2:$D$501,"&gt;="&amp;($D116-Settings!$B$2),$D$2:$D$501,"&lt;"&amp;$D116)/COUNTIFS($B$2:$B$501,$B116,$D$2:$D$501,"&gt;="&amp;($D116-Settings!$B$2),$D$2:$D$501,"&lt;"&amp;$D116),Settings!$B$3)))</f>
      </c>
      <c r="F116" s="5">
        <f>IF(ISNUMBER($E116),ROUND($C116-$E116,2),"")</f>
      </c>
      <c r="G116" s="5">
        <f>IF(ISNUMBER($F116),COUNTIFS($A$2:$A$501,$A116,$F$2:$F$501,"&gt;"&amp;$F116)+1,"")</f>
      </c>
    </row>
    <row r="117">
      <c r="A117" s="6"/>
      <c r="D117" s="5">
        <f>IF(OR($A117="",$B117="",$C117=""),"",COUNTIFS($B$2:$B$501,$B117,$C$2:$C$501,"&lt;&gt;",$A$2:$A$501,"&lt;"&amp;$A117)+COUNTIFS($B$1:$B116,$B117,$C$1:$C116,"&lt;&gt;",$A$1:$A116,$A117)+1)</f>
      </c>
      <c r="E117" s="5">
        <f>IF($D117="","",IF(OR($D117=1,AND(Settings!$B$4="Yes",$D117&lt;=Settings!$B$2)),IF(COUNTIFS(Players!$A$2:$A$101,$B117,Players!$B$2:$B$101,"&lt;&gt;")=0,"Add a starting quota",ROUND(SUMIFS(Players!$B$2:$B$101,Players!$A$2:$A$101,$B117),Settings!$B$3)),ROUND(SUMIFS($C$2:$C$501,$B$2:$B$501,$B117,$D$2:$D$501,"&gt;="&amp;($D117-Settings!$B$2),$D$2:$D$501,"&lt;"&amp;$D117)/COUNTIFS($B$2:$B$501,$B117,$D$2:$D$501,"&gt;="&amp;($D117-Settings!$B$2),$D$2:$D$501,"&lt;"&amp;$D117),Settings!$B$3)))</f>
      </c>
      <c r="F117" s="5">
        <f>IF(ISNUMBER($E117),ROUND($C117-$E117,2),"")</f>
      </c>
      <c r="G117" s="5">
        <f>IF(ISNUMBER($F117),COUNTIFS($A$2:$A$501,$A117,$F$2:$F$501,"&gt;"&amp;$F117)+1,"")</f>
      </c>
    </row>
    <row r="118">
      <c r="A118" s="6"/>
      <c r="D118" s="5">
        <f>IF(OR($A118="",$B118="",$C118=""),"",COUNTIFS($B$2:$B$501,$B118,$C$2:$C$501,"&lt;&gt;",$A$2:$A$501,"&lt;"&amp;$A118)+COUNTIFS($B$1:$B117,$B118,$C$1:$C117,"&lt;&gt;",$A$1:$A117,$A118)+1)</f>
      </c>
      <c r="E118" s="5">
        <f>IF($D118="","",IF(OR($D118=1,AND(Settings!$B$4="Yes",$D118&lt;=Settings!$B$2)),IF(COUNTIFS(Players!$A$2:$A$101,$B118,Players!$B$2:$B$101,"&lt;&gt;")=0,"Add a starting quota",ROUND(SUMIFS(Players!$B$2:$B$101,Players!$A$2:$A$101,$B118),Settings!$B$3)),ROUND(SUMIFS($C$2:$C$501,$B$2:$B$501,$B118,$D$2:$D$501,"&gt;="&amp;($D118-Settings!$B$2),$D$2:$D$501,"&lt;"&amp;$D118)/COUNTIFS($B$2:$B$501,$B118,$D$2:$D$501,"&gt;="&amp;($D118-Settings!$B$2),$D$2:$D$501,"&lt;"&amp;$D118),Settings!$B$3)))</f>
      </c>
      <c r="F118" s="5">
        <f>IF(ISNUMBER($E118),ROUND($C118-$E118,2),"")</f>
      </c>
      <c r="G118" s="5">
        <f>IF(ISNUMBER($F118),COUNTIFS($A$2:$A$501,$A118,$F$2:$F$501,"&gt;"&amp;$F118)+1,"")</f>
      </c>
    </row>
    <row r="119">
      <c r="A119" s="6"/>
      <c r="D119" s="5">
        <f>IF(OR($A119="",$B119="",$C119=""),"",COUNTIFS($B$2:$B$501,$B119,$C$2:$C$501,"&lt;&gt;",$A$2:$A$501,"&lt;"&amp;$A119)+COUNTIFS($B$1:$B118,$B119,$C$1:$C118,"&lt;&gt;",$A$1:$A118,$A119)+1)</f>
      </c>
      <c r="E119" s="5">
        <f>IF($D119="","",IF(OR($D119=1,AND(Settings!$B$4="Yes",$D119&lt;=Settings!$B$2)),IF(COUNTIFS(Players!$A$2:$A$101,$B119,Players!$B$2:$B$101,"&lt;&gt;")=0,"Add a starting quota",ROUND(SUMIFS(Players!$B$2:$B$101,Players!$A$2:$A$101,$B119),Settings!$B$3)),ROUND(SUMIFS($C$2:$C$501,$B$2:$B$501,$B119,$D$2:$D$501,"&gt;="&amp;($D119-Settings!$B$2),$D$2:$D$501,"&lt;"&amp;$D119)/COUNTIFS($B$2:$B$501,$B119,$D$2:$D$501,"&gt;="&amp;($D119-Settings!$B$2),$D$2:$D$501,"&lt;"&amp;$D119),Settings!$B$3)))</f>
      </c>
      <c r="F119" s="5">
        <f>IF(ISNUMBER($E119),ROUND($C119-$E119,2),"")</f>
      </c>
      <c r="G119" s="5">
        <f>IF(ISNUMBER($F119),COUNTIFS($A$2:$A$501,$A119,$F$2:$F$501,"&gt;"&amp;$F119)+1,"")</f>
      </c>
    </row>
    <row r="120">
      <c r="A120" s="6"/>
      <c r="D120" s="5">
        <f>IF(OR($A120="",$B120="",$C120=""),"",COUNTIFS($B$2:$B$501,$B120,$C$2:$C$501,"&lt;&gt;",$A$2:$A$501,"&lt;"&amp;$A120)+COUNTIFS($B$1:$B119,$B120,$C$1:$C119,"&lt;&gt;",$A$1:$A119,$A120)+1)</f>
      </c>
      <c r="E120" s="5">
        <f>IF($D120="","",IF(OR($D120=1,AND(Settings!$B$4="Yes",$D120&lt;=Settings!$B$2)),IF(COUNTIFS(Players!$A$2:$A$101,$B120,Players!$B$2:$B$101,"&lt;&gt;")=0,"Add a starting quota",ROUND(SUMIFS(Players!$B$2:$B$101,Players!$A$2:$A$101,$B120),Settings!$B$3)),ROUND(SUMIFS($C$2:$C$501,$B$2:$B$501,$B120,$D$2:$D$501,"&gt;="&amp;($D120-Settings!$B$2),$D$2:$D$501,"&lt;"&amp;$D120)/COUNTIFS($B$2:$B$501,$B120,$D$2:$D$501,"&gt;="&amp;($D120-Settings!$B$2),$D$2:$D$501,"&lt;"&amp;$D120),Settings!$B$3)))</f>
      </c>
      <c r="F120" s="5">
        <f>IF(ISNUMBER($E120),ROUND($C120-$E120,2),"")</f>
      </c>
      <c r="G120" s="5">
        <f>IF(ISNUMBER($F120),COUNTIFS($A$2:$A$501,$A120,$F$2:$F$501,"&gt;"&amp;$F120)+1,"")</f>
      </c>
    </row>
    <row r="121">
      <c r="A121" s="6"/>
      <c r="D121" s="5">
        <f>IF(OR($A121="",$B121="",$C121=""),"",COUNTIFS($B$2:$B$501,$B121,$C$2:$C$501,"&lt;&gt;",$A$2:$A$501,"&lt;"&amp;$A121)+COUNTIFS($B$1:$B120,$B121,$C$1:$C120,"&lt;&gt;",$A$1:$A120,$A121)+1)</f>
      </c>
      <c r="E121" s="5">
        <f>IF($D121="","",IF(OR($D121=1,AND(Settings!$B$4="Yes",$D121&lt;=Settings!$B$2)),IF(COUNTIFS(Players!$A$2:$A$101,$B121,Players!$B$2:$B$101,"&lt;&gt;")=0,"Add a starting quota",ROUND(SUMIFS(Players!$B$2:$B$101,Players!$A$2:$A$101,$B121),Settings!$B$3)),ROUND(SUMIFS($C$2:$C$501,$B$2:$B$501,$B121,$D$2:$D$501,"&gt;="&amp;($D121-Settings!$B$2),$D$2:$D$501,"&lt;"&amp;$D121)/COUNTIFS($B$2:$B$501,$B121,$D$2:$D$501,"&gt;="&amp;($D121-Settings!$B$2),$D$2:$D$501,"&lt;"&amp;$D121),Settings!$B$3)))</f>
      </c>
      <c r="F121" s="5">
        <f>IF(ISNUMBER($E121),ROUND($C121-$E121,2),"")</f>
      </c>
      <c r="G121" s="5">
        <f>IF(ISNUMBER($F121),COUNTIFS($A$2:$A$501,$A121,$F$2:$F$501,"&gt;"&amp;$F121)+1,"")</f>
      </c>
    </row>
    <row r="122">
      <c r="A122" s="6"/>
      <c r="D122" s="5">
        <f>IF(OR($A122="",$B122="",$C122=""),"",COUNTIFS($B$2:$B$501,$B122,$C$2:$C$501,"&lt;&gt;",$A$2:$A$501,"&lt;"&amp;$A122)+COUNTIFS($B$1:$B121,$B122,$C$1:$C121,"&lt;&gt;",$A$1:$A121,$A122)+1)</f>
      </c>
      <c r="E122" s="5">
        <f>IF($D122="","",IF(OR($D122=1,AND(Settings!$B$4="Yes",$D122&lt;=Settings!$B$2)),IF(COUNTIFS(Players!$A$2:$A$101,$B122,Players!$B$2:$B$101,"&lt;&gt;")=0,"Add a starting quota",ROUND(SUMIFS(Players!$B$2:$B$101,Players!$A$2:$A$101,$B122),Settings!$B$3)),ROUND(SUMIFS($C$2:$C$501,$B$2:$B$501,$B122,$D$2:$D$501,"&gt;="&amp;($D122-Settings!$B$2),$D$2:$D$501,"&lt;"&amp;$D122)/COUNTIFS($B$2:$B$501,$B122,$D$2:$D$501,"&gt;="&amp;($D122-Settings!$B$2),$D$2:$D$501,"&lt;"&amp;$D122),Settings!$B$3)))</f>
      </c>
      <c r="F122" s="5">
        <f>IF(ISNUMBER($E122),ROUND($C122-$E122,2),"")</f>
      </c>
      <c r="G122" s="5">
        <f>IF(ISNUMBER($F122),COUNTIFS($A$2:$A$501,$A122,$F$2:$F$501,"&gt;"&amp;$F122)+1,"")</f>
      </c>
    </row>
    <row r="123">
      <c r="A123" s="6"/>
      <c r="D123" s="5">
        <f>IF(OR($A123="",$B123="",$C123=""),"",COUNTIFS($B$2:$B$501,$B123,$C$2:$C$501,"&lt;&gt;",$A$2:$A$501,"&lt;"&amp;$A123)+COUNTIFS($B$1:$B122,$B123,$C$1:$C122,"&lt;&gt;",$A$1:$A122,$A123)+1)</f>
      </c>
      <c r="E123" s="5">
        <f>IF($D123="","",IF(OR($D123=1,AND(Settings!$B$4="Yes",$D123&lt;=Settings!$B$2)),IF(COUNTIFS(Players!$A$2:$A$101,$B123,Players!$B$2:$B$101,"&lt;&gt;")=0,"Add a starting quota",ROUND(SUMIFS(Players!$B$2:$B$101,Players!$A$2:$A$101,$B123),Settings!$B$3)),ROUND(SUMIFS($C$2:$C$501,$B$2:$B$501,$B123,$D$2:$D$501,"&gt;="&amp;($D123-Settings!$B$2),$D$2:$D$501,"&lt;"&amp;$D123)/COUNTIFS($B$2:$B$501,$B123,$D$2:$D$501,"&gt;="&amp;($D123-Settings!$B$2),$D$2:$D$501,"&lt;"&amp;$D123),Settings!$B$3)))</f>
      </c>
      <c r="F123" s="5">
        <f>IF(ISNUMBER($E123),ROUND($C123-$E123,2),"")</f>
      </c>
      <c r="G123" s="5">
        <f>IF(ISNUMBER($F123),COUNTIFS($A$2:$A$501,$A123,$F$2:$F$501,"&gt;"&amp;$F123)+1,"")</f>
      </c>
    </row>
    <row r="124">
      <c r="A124" s="6"/>
      <c r="D124" s="5">
        <f>IF(OR($A124="",$B124="",$C124=""),"",COUNTIFS($B$2:$B$501,$B124,$C$2:$C$501,"&lt;&gt;",$A$2:$A$501,"&lt;"&amp;$A124)+COUNTIFS($B$1:$B123,$B124,$C$1:$C123,"&lt;&gt;",$A$1:$A123,$A124)+1)</f>
      </c>
      <c r="E124" s="5">
        <f>IF($D124="","",IF(OR($D124=1,AND(Settings!$B$4="Yes",$D124&lt;=Settings!$B$2)),IF(COUNTIFS(Players!$A$2:$A$101,$B124,Players!$B$2:$B$101,"&lt;&gt;")=0,"Add a starting quota",ROUND(SUMIFS(Players!$B$2:$B$101,Players!$A$2:$A$101,$B124),Settings!$B$3)),ROUND(SUMIFS($C$2:$C$501,$B$2:$B$501,$B124,$D$2:$D$501,"&gt;="&amp;($D124-Settings!$B$2),$D$2:$D$501,"&lt;"&amp;$D124)/COUNTIFS($B$2:$B$501,$B124,$D$2:$D$501,"&gt;="&amp;($D124-Settings!$B$2),$D$2:$D$501,"&lt;"&amp;$D124),Settings!$B$3)))</f>
      </c>
      <c r="F124" s="5">
        <f>IF(ISNUMBER($E124),ROUND($C124-$E124,2),"")</f>
      </c>
      <c r="G124" s="5">
        <f>IF(ISNUMBER($F124),COUNTIFS($A$2:$A$501,$A124,$F$2:$F$501,"&gt;"&amp;$F124)+1,"")</f>
      </c>
    </row>
    <row r="125">
      <c r="A125" s="6"/>
      <c r="D125" s="5">
        <f>IF(OR($A125="",$B125="",$C125=""),"",COUNTIFS($B$2:$B$501,$B125,$C$2:$C$501,"&lt;&gt;",$A$2:$A$501,"&lt;"&amp;$A125)+COUNTIFS($B$1:$B124,$B125,$C$1:$C124,"&lt;&gt;",$A$1:$A124,$A125)+1)</f>
      </c>
      <c r="E125" s="5">
        <f>IF($D125="","",IF(OR($D125=1,AND(Settings!$B$4="Yes",$D125&lt;=Settings!$B$2)),IF(COUNTIFS(Players!$A$2:$A$101,$B125,Players!$B$2:$B$101,"&lt;&gt;")=0,"Add a starting quota",ROUND(SUMIFS(Players!$B$2:$B$101,Players!$A$2:$A$101,$B125),Settings!$B$3)),ROUND(SUMIFS($C$2:$C$501,$B$2:$B$501,$B125,$D$2:$D$501,"&gt;="&amp;($D125-Settings!$B$2),$D$2:$D$501,"&lt;"&amp;$D125)/COUNTIFS($B$2:$B$501,$B125,$D$2:$D$501,"&gt;="&amp;($D125-Settings!$B$2),$D$2:$D$501,"&lt;"&amp;$D125),Settings!$B$3)))</f>
      </c>
      <c r="F125" s="5">
        <f>IF(ISNUMBER($E125),ROUND($C125-$E125,2),"")</f>
      </c>
      <c r="G125" s="5">
        <f>IF(ISNUMBER($F125),COUNTIFS($A$2:$A$501,$A125,$F$2:$F$501,"&gt;"&amp;$F125)+1,"")</f>
      </c>
    </row>
    <row r="126">
      <c r="A126" s="6"/>
      <c r="D126" s="5">
        <f>IF(OR($A126="",$B126="",$C126=""),"",COUNTIFS($B$2:$B$501,$B126,$C$2:$C$501,"&lt;&gt;",$A$2:$A$501,"&lt;"&amp;$A126)+COUNTIFS($B$1:$B125,$B126,$C$1:$C125,"&lt;&gt;",$A$1:$A125,$A126)+1)</f>
      </c>
      <c r="E126" s="5">
        <f>IF($D126="","",IF(OR($D126=1,AND(Settings!$B$4="Yes",$D126&lt;=Settings!$B$2)),IF(COUNTIFS(Players!$A$2:$A$101,$B126,Players!$B$2:$B$101,"&lt;&gt;")=0,"Add a starting quota",ROUND(SUMIFS(Players!$B$2:$B$101,Players!$A$2:$A$101,$B126),Settings!$B$3)),ROUND(SUMIFS($C$2:$C$501,$B$2:$B$501,$B126,$D$2:$D$501,"&gt;="&amp;($D126-Settings!$B$2),$D$2:$D$501,"&lt;"&amp;$D126)/COUNTIFS($B$2:$B$501,$B126,$D$2:$D$501,"&gt;="&amp;($D126-Settings!$B$2),$D$2:$D$501,"&lt;"&amp;$D126),Settings!$B$3)))</f>
      </c>
      <c r="F126" s="5">
        <f>IF(ISNUMBER($E126),ROUND($C126-$E126,2),"")</f>
      </c>
      <c r="G126" s="5">
        <f>IF(ISNUMBER($F126),COUNTIFS($A$2:$A$501,$A126,$F$2:$F$501,"&gt;"&amp;$F126)+1,"")</f>
      </c>
    </row>
    <row r="127">
      <c r="A127" s="6"/>
      <c r="D127" s="5">
        <f>IF(OR($A127="",$B127="",$C127=""),"",COUNTIFS($B$2:$B$501,$B127,$C$2:$C$501,"&lt;&gt;",$A$2:$A$501,"&lt;"&amp;$A127)+COUNTIFS($B$1:$B126,$B127,$C$1:$C126,"&lt;&gt;",$A$1:$A126,$A127)+1)</f>
      </c>
      <c r="E127" s="5">
        <f>IF($D127="","",IF(OR($D127=1,AND(Settings!$B$4="Yes",$D127&lt;=Settings!$B$2)),IF(COUNTIFS(Players!$A$2:$A$101,$B127,Players!$B$2:$B$101,"&lt;&gt;")=0,"Add a starting quota",ROUND(SUMIFS(Players!$B$2:$B$101,Players!$A$2:$A$101,$B127),Settings!$B$3)),ROUND(SUMIFS($C$2:$C$501,$B$2:$B$501,$B127,$D$2:$D$501,"&gt;="&amp;($D127-Settings!$B$2),$D$2:$D$501,"&lt;"&amp;$D127)/COUNTIFS($B$2:$B$501,$B127,$D$2:$D$501,"&gt;="&amp;($D127-Settings!$B$2),$D$2:$D$501,"&lt;"&amp;$D127),Settings!$B$3)))</f>
      </c>
      <c r="F127" s="5">
        <f>IF(ISNUMBER($E127),ROUND($C127-$E127,2),"")</f>
      </c>
      <c r="G127" s="5">
        <f>IF(ISNUMBER($F127),COUNTIFS($A$2:$A$501,$A127,$F$2:$F$501,"&gt;"&amp;$F127)+1,"")</f>
      </c>
    </row>
    <row r="128">
      <c r="A128" s="6"/>
      <c r="D128" s="5">
        <f>IF(OR($A128="",$B128="",$C128=""),"",COUNTIFS($B$2:$B$501,$B128,$C$2:$C$501,"&lt;&gt;",$A$2:$A$501,"&lt;"&amp;$A128)+COUNTIFS($B$1:$B127,$B128,$C$1:$C127,"&lt;&gt;",$A$1:$A127,$A128)+1)</f>
      </c>
      <c r="E128" s="5">
        <f>IF($D128="","",IF(OR($D128=1,AND(Settings!$B$4="Yes",$D128&lt;=Settings!$B$2)),IF(COUNTIFS(Players!$A$2:$A$101,$B128,Players!$B$2:$B$101,"&lt;&gt;")=0,"Add a starting quota",ROUND(SUMIFS(Players!$B$2:$B$101,Players!$A$2:$A$101,$B128),Settings!$B$3)),ROUND(SUMIFS($C$2:$C$501,$B$2:$B$501,$B128,$D$2:$D$501,"&gt;="&amp;($D128-Settings!$B$2),$D$2:$D$501,"&lt;"&amp;$D128)/COUNTIFS($B$2:$B$501,$B128,$D$2:$D$501,"&gt;="&amp;($D128-Settings!$B$2),$D$2:$D$501,"&lt;"&amp;$D128),Settings!$B$3)))</f>
      </c>
      <c r="F128" s="5">
        <f>IF(ISNUMBER($E128),ROUND($C128-$E128,2),"")</f>
      </c>
      <c r="G128" s="5">
        <f>IF(ISNUMBER($F128),COUNTIFS($A$2:$A$501,$A128,$F$2:$F$501,"&gt;"&amp;$F128)+1,"")</f>
      </c>
    </row>
    <row r="129">
      <c r="A129" s="6"/>
      <c r="D129" s="5">
        <f>IF(OR($A129="",$B129="",$C129=""),"",COUNTIFS($B$2:$B$501,$B129,$C$2:$C$501,"&lt;&gt;",$A$2:$A$501,"&lt;"&amp;$A129)+COUNTIFS($B$1:$B128,$B129,$C$1:$C128,"&lt;&gt;",$A$1:$A128,$A129)+1)</f>
      </c>
      <c r="E129" s="5">
        <f>IF($D129="","",IF(OR($D129=1,AND(Settings!$B$4="Yes",$D129&lt;=Settings!$B$2)),IF(COUNTIFS(Players!$A$2:$A$101,$B129,Players!$B$2:$B$101,"&lt;&gt;")=0,"Add a starting quota",ROUND(SUMIFS(Players!$B$2:$B$101,Players!$A$2:$A$101,$B129),Settings!$B$3)),ROUND(SUMIFS($C$2:$C$501,$B$2:$B$501,$B129,$D$2:$D$501,"&gt;="&amp;($D129-Settings!$B$2),$D$2:$D$501,"&lt;"&amp;$D129)/COUNTIFS($B$2:$B$501,$B129,$D$2:$D$501,"&gt;="&amp;($D129-Settings!$B$2),$D$2:$D$501,"&lt;"&amp;$D129),Settings!$B$3)))</f>
      </c>
      <c r="F129" s="5">
        <f>IF(ISNUMBER($E129),ROUND($C129-$E129,2),"")</f>
      </c>
      <c r="G129" s="5">
        <f>IF(ISNUMBER($F129),COUNTIFS($A$2:$A$501,$A129,$F$2:$F$501,"&gt;"&amp;$F129)+1,"")</f>
      </c>
    </row>
    <row r="130">
      <c r="A130" s="6"/>
      <c r="D130" s="5">
        <f>IF(OR($A130="",$B130="",$C130=""),"",COUNTIFS($B$2:$B$501,$B130,$C$2:$C$501,"&lt;&gt;",$A$2:$A$501,"&lt;"&amp;$A130)+COUNTIFS($B$1:$B129,$B130,$C$1:$C129,"&lt;&gt;",$A$1:$A129,$A130)+1)</f>
      </c>
      <c r="E130" s="5">
        <f>IF($D130="","",IF(OR($D130=1,AND(Settings!$B$4="Yes",$D130&lt;=Settings!$B$2)),IF(COUNTIFS(Players!$A$2:$A$101,$B130,Players!$B$2:$B$101,"&lt;&gt;")=0,"Add a starting quota",ROUND(SUMIFS(Players!$B$2:$B$101,Players!$A$2:$A$101,$B130),Settings!$B$3)),ROUND(SUMIFS($C$2:$C$501,$B$2:$B$501,$B130,$D$2:$D$501,"&gt;="&amp;($D130-Settings!$B$2),$D$2:$D$501,"&lt;"&amp;$D130)/COUNTIFS($B$2:$B$501,$B130,$D$2:$D$501,"&gt;="&amp;($D130-Settings!$B$2),$D$2:$D$501,"&lt;"&amp;$D130),Settings!$B$3)))</f>
      </c>
      <c r="F130" s="5">
        <f>IF(ISNUMBER($E130),ROUND($C130-$E130,2),"")</f>
      </c>
      <c r="G130" s="5">
        <f>IF(ISNUMBER($F130),COUNTIFS($A$2:$A$501,$A130,$F$2:$F$501,"&gt;"&amp;$F130)+1,"")</f>
      </c>
    </row>
    <row r="131">
      <c r="A131" s="6"/>
      <c r="D131" s="5">
        <f>IF(OR($A131="",$B131="",$C131=""),"",COUNTIFS($B$2:$B$501,$B131,$C$2:$C$501,"&lt;&gt;",$A$2:$A$501,"&lt;"&amp;$A131)+COUNTIFS($B$1:$B130,$B131,$C$1:$C130,"&lt;&gt;",$A$1:$A130,$A131)+1)</f>
      </c>
      <c r="E131" s="5">
        <f>IF($D131="","",IF(OR($D131=1,AND(Settings!$B$4="Yes",$D131&lt;=Settings!$B$2)),IF(COUNTIFS(Players!$A$2:$A$101,$B131,Players!$B$2:$B$101,"&lt;&gt;")=0,"Add a starting quota",ROUND(SUMIFS(Players!$B$2:$B$101,Players!$A$2:$A$101,$B131),Settings!$B$3)),ROUND(SUMIFS($C$2:$C$501,$B$2:$B$501,$B131,$D$2:$D$501,"&gt;="&amp;($D131-Settings!$B$2),$D$2:$D$501,"&lt;"&amp;$D131)/COUNTIFS($B$2:$B$501,$B131,$D$2:$D$501,"&gt;="&amp;($D131-Settings!$B$2),$D$2:$D$501,"&lt;"&amp;$D131),Settings!$B$3)))</f>
      </c>
      <c r="F131" s="5">
        <f>IF(ISNUMBER($E131),ROUND($C131-$E131,2),"")</f>
      </c>
      <c r="G131" s="5">
        <f>IF(ISNUMBER($F131),COUNTIFS($A$2:$A$501,$A131,$F$2:$F$501,"&gt;"&amp;$F131)+1,"")</f>
      </c>
    </row>
    <row r="132">
      <c r="A132" s="6"/>
      <c r="D132" s="5">
        <f>IF(OR($A132="",$B132="",$C132=""),"",COUNTIFS($B$2:$B$501,$B132,$C$2:$C$501,"&lt;&gt;",$A$2:$A$501,"&lt;"&amp;$A132)+COUNTIFS($B$1:$B131,$B132,$C$1:$C131,"&lt;&gt;",$A$1:$A131,$A132)+1)</f>
      </c>
      <c r="E132" s="5">
        <f>IF($D132="","",IF(OR($D132=1,AND(Settings!$B$4="Yes",$D132&lt;=Settings!$B$2)),IF(COUNTIFS(Players!$A$2:$A$101,$B132,Players!$B$2:$B$101,"&lt;&gt;")=0,"Add a starting quota",ROUND(SUMIFS(Players!$B$2:$B$101,Players!$A$2:$A$101,$B132),Settings!$B$3)),ROUND(SUMIFS($C$2:$C$501,$B$2:$B$501,$B132,$D$2:$D$501,"&gt;="&amp;($D132-Settings!$B$2),$D$2:$D$501,"&lt;"&amp;$D132)/COUNTIFS($B$2:$B$501,$B132,$D$2:$D$501,"&gt;="&amp;($D132-Settings!$B$2),$D$2:$D$501,"&lt;"&amp;$D132),Settings!$B$3)))</f>
      </c>
      <c r="F132" s="5">
        <f>IF(ISNUMBER($E132),ROUND($C132-$E132,2),"")</f>
      </c>
      <c r="G132" s="5">
        <f>IF(ISNUMBER($F132),COUNTIFS($A$2:$A$501,$A132,$F$2:$F$501,"&gt;"&amp;$F132)+1,"")</f>
      </c>
    </row>
    <row r="133">
      <c r="A133" s="6"/>
      <c r="D133" s="5">
        <f>IF(OR($A133="",$B133="",$C133=""),"",COUNTIFS($B$2:$B$501,$B133,$C$2:$C$501,"&lt;&gt;",$A$2:$A$501,"&lt;"&amp;$A133)+COUNTIFS($B$1:$B132,$B133,$C$1:$C132,"&lt;&gt;",$A$1:$A132,$A133)+1)</f>
      </c>
      <c r="E133" s="5">
        <f>IF($D133="","",IF(OR($D133=1,AND(Settings!$B$4="Yes",$D133&lt;=Settings!$B$2)),IF(COUNTIFS(Players!$A$2:$A$101,$B133,Players!$B$2:$B$101,"&lt;&gt;")=0,"Add a starting quota",ROUND(SUMIFS(Players!$B$2:$B$101,Players!$A$2:$A$101,$B133),Settings!$B$3)),ROUND(SUMIFS($C$2:$C$501,$B$2:$B$501,$B133,$D$2:$D$501,"&gt;="&amp;($D133-Settings!$B$2),$D$2:$D$501,"&lt;"&amp;$D133)/COUNTIFS($B$2:$B$501,$B133,$D$2:$D$501,"&gt;="&amp;($D133-Settings!$B$2),$D$2:$D$501,"&lt;"&amp;$D133),Settings!$B$3)))</f>
      </c>
      <c r="F133" s="5">
        <f>IF(ISNUMBER($E133),ROUND($C133-$E133,2),"")</f>
      </c>
      <c r="G133" s="5">
        <f>IF(ISNUMBER($F133),COUNTIFS($A$2:$A$501,$A133,$F$2:$F$501,"&gt;"&amp;$F133)+1,"")</f>
      </c>
    </row>
    <row r="134">
      <c r="A134" s="6"/>
      <c r="D134" s="5">
        <f>IF(OR($A134="",$B134="",$C134=""),"",COUNTIFS($B$2:$B$501,$B134,$C$2:$C$501,"&lt;&gt;",$A$2:$A$501,"&lt;"&amp;$A134)+COUNTIFS($B$1:$B133,$B134,$C$1:$C133,"&lt;&gt;",$A$1:$A133,$A134)+1)</f>
      </c>
      <c r="E134" s="5">
        <f>IF($D134="","",IF(OR($D134=1,AND(Settings!$B$4="Yes",$D134&lt;=Settings!$B$2)),IF(COUNTIFS(Players!$A$2:$A$101,$B134,Players!$B$2:$B$101,"&lt;&gt;")=0,"Add a starting quota",ROUND(SUMIFS(Players!$B$2:$B$101,Players!$A$2:$A$101,$B134),Settings!$B$3)),ROUND(SUMIFS($C$2:$C$501,$B$2:$B$501,$B134,$D$2:$D$501,"&gt;="&amp;($D134-Settings!$B$2),$D$2:$D$501,"&lt;"&amp;$D134)/COUNTIFS($B$2:$B$501,$B134,$D$2:$D$501,"&gt;="&amp;($D134-Settings!$B$2),$D$2:$D$501,"&lt;"&amp;$D134),Settings!$B$3)))</f>
      </c>
      <c r="F134" s="5">
        <f>IF(ISNUMBER($E134),ROUND($C134-$E134,2),"")</f>
      </c>
      <c r="G134" s="5">
        <f>IF(ISNUMBER($F134),COUNTIFS($A$2:$A$501,$A134,$F$2:$F$501,"&gt;"&amp;$F134)+1,"")</f>
      </c>
    </row>
    <row r="135">
      <c r="A135" s="6"/>
      <c r="D135" s="5">
        <f>IF(OR($A135="",$B135="",$C135=""),"",COUNTIFS($B$2:$B$501,$B135,$C$2:$C$501,"&lt;&gt;",$A$2:$A$501,"&lt;"&amp;$A135)+COUNTIFS($B$1:$B134,$B135,$C$1:$C134,"&lt;&gt;",$A$1:$A134,$A135)+1)</f>
      </c>
      <c r="E135" s="5">
        <f>IF($D135="","",IF(OR($D135=1,AND(Settings!$B$4="Yes",$D135&lt;=Settings!$B$2)),IF(COUNTIFS(Players!$A$2:$A$101,$B135,Players!$B$2:$B$101,"&lt;&gt;")=0,"Add a starting quota",ROUND(SUMIFS(Players!$B$2:$B$101,Players!$A$2:$A$101,$B135),Settings!$B$3)),ROUND(SUMIFS($C$2:$C$501,$B$2:$B$501,$B135,$D$2:$D$501,"&gt;="&amp;($D135-Settings!$B$2),$D$2:$D$501,"&lt;"&amp;$D135)/COUNTIFS($B$2:$B$501,$B135,$D$2:$D$501,"&gt;="&amp;($D135-Settings!$B$2),$D$2:$D$501,"&lt;"&amp;$D135),Settings!$B$3)))</f>
      </c>
      <c r="F135" s="5">
        <f>IF(ISNUMBER($E135),ROUND($C135-$E135,2),"")</f>
      </c>
      <c r="G135" s="5">
        <f>IF(ISNUMBER($F135),COUNTIFS($A$2:$A$501,$A135,$F$2:$F$501,"&gt;"&amp;$F135)+1,"")</f>
      </c>
    </row>
    <row r="136">
      <c r="A136" s="6"/>
      <c r="D136" s="5">
        <f>IF(OR($A136="",$B136="",$C136=""),"",COUNTIFS($B$2:$B$501,$B136,$C$2:$C$501,"&lt;&gt;",$A$2:$A$501,"&lt;"&amp;$A136)+COUNTIFS($B$1:$B135,$B136,$C$1:$C135,"&lt;&gt;",$A$1:$A135,$A136)+1)</f>
      </c>
      <c r="E136" s="5">
        <f>IF($D136="","",IF(OR($D136=1,AND(Settings!$B$4="Yes",$D136&lt;=Settings!$B$2)),IF(COUNTIFS(Players!$A$2:$A$101,$B136,Players!$B$2:$B$101,"&lt;&gt;")=0,"Add a starting quota",ROUND(SUMIFS(Players!$B$2:$B$101,Players!$A$2:$A$101,$B136),Settings!$B$3)),ROUND(SUMIFS($C$2:$C$501,$B$2:$B$501,$B136,$D$2:$D$501,"&gt;="&amp;($D136-Settings!$B$2),$D$2:$D$501,"&lt;"&amp;$D136)/COUNTIFS($B$2:$B$501,$B136,$D$2:$D$501,"&gt;="&amp;($D136-Settings!$B$2),$D$2:$D$501,"&lt;"&amp;$D136),Settings!$B$3)))</f>
      </c>
      <c r="F136" s="5">
        <f>IF(ISNUMBER($E136),ROUND($C136-$E136,2),"")</f>
      </c>
      <c r="G136" s="5">
        <f>IF(ISNUMBER($F136),COUNTIFS($A$2:$A$501,$A136,$F$2:$F$501,"&gt;"&amp;$F136)+1,"")</f>
      </c>
    </row>
    <row r="137">
      <c r="A137" s="6"/>
      <c r="D137" s="5">
        <f>IF(OR($A137="",$B137="",$C137=""),"",COUNTIFS($B$2:$B$501,$B137,$C$2:$C$501,"&lt;&gt;",$A$2:$A$501,"&lt;"&amp;$A137)+COUNTIFS($B$1:$B136,$B137,$C$1:$C136,"&lt;&gt;",$A$1:$A136,$A137)+1)</f>
      </c>
      <c r="E137" s="5">
        <f>IF($D137="","",IF(OR($D137=1,AND(Settings!$B$4="Yes",$D137&lt;=Settings!$B$2)),IF(COUNTIFS(Players!$A$2:$A$101,$B137,Players!$B$2:$B$101,"&lt;&gt;")=0,"Add a starting quota",ROUND(SUMIFS(Players!$B$2:$B$101,Players!$A$2:$A$101,$B137),Settings!$B$3)),ROUND(SUMIFS($C$2:$C$501,$B$2:$B$501,$B137,$D$2:$D$501,"&gt;="&amp;($D137-Settings!$B$2),$D$2:$D$501,"&lt;"&amp;$D137)/COUNTIFS($B$2:$B$501,$B137,$D$2:$D$501,"&gt;="&amp;($D137-Settings!$B$2),$D$2:$D$501,"&lt;"&amp;$D137),Settings!$B$3)))</f>
      </c>
      <c r="F137" s="5">
        <f>IF(ISNUMBER($E137),ROUND($C137-$E137,2),"")</f>
      </c>
      <c r="G137" s="5">
        <f>IF(ISNUMBER($F137),COUNTIFS($A$2:$A$501,$A137,$F$2:$F$501,"&gt;"&amp;$F137)+1,"")</f>
      </c>
    </row>
    <row r="138">
      <c r="A138" s="6"/>
      <c r="D138" s="5">
        <f>IF(OR($A138="",$B138="",$C138=""),"",COUNTIFS($B$2:$B$501,$B138,$C$2:$C$501,"&lt;&gt;",$A$2:$A$501,"&lt;"&amp;$A138)+COUNTIFS($B$1:$B137,$B138,$C$1:$C137,"&lt;&gt;",$A$1:$A137,$A138)+1)</f>
      </c>
      <c r="E138" s="5">
        <f>IF($D138="","",IF(OR($D138=1,AND(Settings!$B$4="Yes",$D138&lt;=Settings!$B$2)),IF(COUNTIFS(Players!$A$2:$A$101,$B138,Players!$B$2:$B$101,"&lt;&gt;")=0,"Add a starting quota",ROUND(SUMIFS(Players!$B$2:$B$101,Players!$A$2:$A$101,$B138),Settings!$B$3)),ROUND(SUMIFS($C$2:$C$501,$B$2:$B$501,$B138,$D$2:$D$501,"&gt;="&amp;($D138-Settings!$B$2),$D$2:$D$501,"&lt;"&amp;$D138)/COUNTIFS($B$2:$B$501,$B138,$D$2:$D$501,"&gt;="&amp;($D138-Settings!$B$2),$D$2:$D$501,"&lt;"&amp;$D138),Settings!$B$3)))</f>
      </c>
      <c r="F138" s="5">
        <f>IF(ISNUMBER($E138),ROUND($C138-$E138,2),"")</f>
      </c>
      <c r="G138" s="5">
        <f>IF(ISNUMBER($F138),COUNTIFS($A$2:$A$501,$A138,$F$2:$F$501,"&gt;"&amp;$F138)+1,"")</f>
      </c>
    </row>
    <row r="139">
      <c r="A139" s="6"/>
      <c r="D139" s="5">
        <f>IF(OR($A139="",$B139="",$C139=""),"",COUNTIFS($B$2:$B$501,$B139,$C$2:$C$501,"&lt;&gt;",$A$2:$A$501,"&lt;"&amp;$A139)+COUNTIFS($B$1:$B138,$B139,$C$1:$C138,"&lt;&gt;",$A$1:$A138,$A139)+1)</f>
      </c>
      <c r="E139" s="5">
        <f>IF($D139="","",IF(OR($D139=1,AND(Settings!$B$4="Yes",$D139&lt;=Settings!$B$2)),IF(COUNTIFS(Players!$A$2:$A$101,$B139,Players!$B$2:$B$101,"&lt;&gt;")=0,"Add a starting quota",ROUND(SUMIFS(Players!$B$2:$B$101,Players!$A$2:$A$101,$B139),Settings!$B$3)),ROUND(SUMIFS($C$2:$C$501,$B$2:$B$501,$B139,$D$2:$D$501,"&gt;="&amp;($D139-Settings!$B$2),$D$2:$D$501,"&lt;"&amp;$D139)/COUNTIFS($B$2:$B$501,$B139,$D$2:$D$501,"&gt;="&amp;($D139-Settings!$B$2),$D$2:$D$501,"&lt;"&amp;$D139),Settings!$B$3)))</f>
      </c>
      <c r="F139" s="5">
        <f>IF(ISNUMBER($E139),ROUND($C139-$E139,2),"")</f>
      </c>
      <c r="G139" s="5">
        <f>IF(ISNUMBER($F139),COUNTIFS($A$2:$A$501,$A139,$F$2:$F$501,"&gt;"&amp;$F139)+1,"")</f>
      </c>
    </row>
    <row r="140">
      <c r="A140" s="6"/>
      <c r="D140" s="5">
        <f>IF(OR($A140="",$B140="",$C140=""),"",COUNTIFS($B$2:$B$501,$B140,$C$2:$C$501,"&lt;&gt;",$A$2:$A$501,"&lt;"&amp;$A140)+COUNTIFS($B$1:$B139,$B140,$C$1:$C139,"&lt;&gt;",$A$1:$A139,$A140)+1)</f>
      </c>
      <c r="E140" s="5">
        <f>IF($D140="","",IF(OR($D140=1,AND(Settings!$B$4="Yes",$D140&lt;=Settings!$B$2)),IF(COUNTIFS(Players!$A$2:$A$101,$B140,Players!$B$2:$B$101,"&lt;&gt;")=0,"Add a starting quota",ROUND(SUMIFS(Players!$B$2:$B$101,Players!$A$2:$A$101,$B140),Settings!$B$3)),ROUND(SUMIFS($C$2:$C$501,$B$2:$B$501,$B140,$D$2:$D$501,"&gt;="&amp;($D140-Settings!$B$2),$D$2:$D$501,"&lt;"&amp;$D140)/COUNTIFS($B$2:$B$501,$B140,$D$2:$D$501,"&gt;="&amp;($D140-Settings!$B$2),$D$2:$D$501,"&lt;"&amp;$D140),Settings!$B$3)))</f>
      </c>
      <c r="F140" s="5">
        <f>IF(ISNUMBER($E140),ROUND($C140-$E140,2),"")</f>
      </c>
      <c r="G140" s="5">
        <f>IF(ISNUMBER($F140),COUNTIFS($A$2:$A$501,$A140,$F$2:$F$501,"&gt;"&amp;$F140)+1,"")</f>
      </c>
    </row>
    <row r="141">
      <c r="A141" s="6"/>
      <c r="D141" s="5">
        <f>IF(OR($A141="",$B141="",$C141=""),"",COUNTIFS($B$2:$B$501,$B141,$C$2:$C$501,"&lt;&gt;",$A$2:$A$501,"&lt;"&amp;$A141)+COUNTIFS($B$1:$B140,$B141,$C$1:$C140,"&lt;&gt;",$A$1:$A140,$A141)+1)</f>
      </c>
      <c r="E141" s="5">
        <f>IF($D141="","",IF(OR($D141=1,AND(Settings!$B$4="Yes",$D141&lt;=Settings!$B$2)),IF(COUNTIFS(Players!$A$2:$A$101,$B141,Players!$B$2:$B$101,"&lt;&gt;")=0,"Add a starting quota",ROUND(SUMIFS(Players!$B$2:$B$101,Players!$A$2:$A$101,$B141),Settings!$B$3)),ROUND(SUMIFS($C$2:$C$501,$B$2:$B$501,$B141,$D$2:$D$501,"&gt;="&amp;($D141-Settings!$B$2),$D$2:$D$501,"&lt;"&amp;$D141)/COUNTIFS($B$2:$B$501,$B141,$D$2:$D$501,"&gt;="&amp;($D141-Settings!$B$2),$D$2:$D$501,"&lt;"&amp;$D141),Settings!$B$3)))</f>
      </c>
      <c r="F141" s="5">
        <f>IF(ISNUMBER($E141),ROUND($C141-$E141,2),"")</f>
      </c>
      <c r="G141" s="5">
        <f>IF(ISNUMBER($F141),COUNTIFS($A$2:$A$501,$A141,$F$2:$F$501,"&gt;"&amp;$F141)+1,"")</f>
      </c>
    </row>
    <row r="142">
      <c r="A142" s="6"/>
      <c r="D142" s="5">
        <f>IF(OR($A142="",$B142="",$C142=""),"",COUNTIFS($B$2:$B$501,$B142,$C$2:$C$501,"&lt;&gt;",$A$2:$A$501,"&lt;"&amp;$A142)+COUNTIFS($B$1:$B141,$B142,$C$1:$C141,"&lt;&gt;",$A$1:$A141,$A142)+1)</f>
      </c>
      <c r="E142" s="5">
        <f>IF($D142="","",IF(OR($D142=1,AND(Settings!$B$4="Yes",$D142&lt;=Settings!$B$2)),IF(COUNTIFS(Players!$A$2:$A$101,$B142,Players!$B$2:$B$101,"&lt;&gt;")=0,"Add a starting quota",ROUND(SUMIFS(Players!$B$2:$B$101,Players!$A$2:$A$101,$B142),Settings!$B$3)),ROUND(SUMIFS($C$2:$C$501,$B$2:$B$501,$B142,$D$2:$D$501,"&gt;="&amp;($D142-Settings!$B$2),$D$2:$D$501,"&lt;"&amp;$D142)/COUNTIFS($B$2:$B$501,$B142,$D$2:$D$501,"&gt;="&amp;($D142-Settings!$B$2),$D$2:$D$501,"&lt;"&amp;$D142),Settings!$B$3)))</f>
      </c>
      <c r="F142" s="5">
        <f>IF(ISNUMBER($E142),ROUND($C142-$E142,2),"")</f>
      </c>
      <c r="G142" s="5">
        <f>IF(ISNUMBER($F142),COUNTIFS($A$2:$A$501,$A142,$F$2:$F$501,"&gt;"&amp;$F142)+1,"")</f>
      </c>
    </row>
    <row r="143">
      <c r="A143" s="6"/>
      <c r="D143" s="5">
        <f>IF(OR($A143="",$B143="",$C143=""),"",COUNTIFS($B$2:$B$501,$B143,$C$2:$C$501,"&lt;&gt;",$A$2:$A$501,"&lt;"&amp;$A143)+COUNTIFS($B$1:$B142,$B143,$C$1:$C142,"&lt;&gt;",$A$1:$A142,$A143)+1)</f>
      </c>
      <c r="E143" s="5">
        <f>IF($D143="","",IF(OR($D143=1,AND(Settings!$B$4="Yes",$D143&lt;=Settings!$B$2)),IF(COUNTIFS(Players!$A$2:$A$101,$B143,Players!$B$2:$B$101,"&lt;&gt;")=0,"Add a starting quota",ROUND(SUMIFS(Players!$B$2:$B$101,Players!$A$2:$A$101,$B143),Settings!$B$3)),ROUND(SUMIFS($C$2:$C$501,$B$2:$B$501,$B143,$D$2:$D$501,"&gt;="&amp;($D143-Settings!$B$2),$D$2:$D$501,"&lt;"&amp;$D143)/COUNTIFS($B$2:$B$501,$B143,$D$2:$D$501,"&gt;="&amp;($D143-Settings!$B$2),$D$2:$D$501,"&lt;"&amp;$D143),Settings!$B$3)))</f>
      </c>
      <c r="F143" s="5">
        <f>IF(ISNUMBER($E143),ROUND($C143-$E143,2),"")</f>
      </c>
      <c r="G143" s="5">
        <f>IF(ISNUMBER($F143),COUNTIFS($A$2:$A$501,$A143,$F$2:$F$501,"&gt;"&amp;$F143)+1,"")</f>
      </c>
    </row>
    <row r="144">
      <c r="A144" s="6"/>
      <c r="D144" s="5">
        <f>IF(OR($A144="",$B144="",$C144=""),"",COUNTIFS($B$2:$B$501,$B144,$C$2:$C$501,"&lt;&gt;",$A$2:$A$501,"&lt;"&amp;$A144)+COUNTIFS($B$1:$B143,$B144,$C$1:$C143,"&lt;&gt;",$A$1:$A143,$A144)+1)</f>
      </c>
      <c r="E144" s="5">
        <f>IF($D144="","",IF(OR($D144=1,AND(Settings!$B$4="Yes",$D144&lt;=Settings!$B$2)),IF(COUNTIFS(Players!$A$2:$A$101,$B144,Players!$B$2:$B$101,"&lt;&gt;")=0,"Add a starting quota",ROUND(SUMIFS(Players!$B$2:$B$101,Players!$A$2:$A$101,$B144),Settings!$B$3)),ROUND(SUMIFS($C$2:$C$501,$B$2:$B$501,$B144,$D$2:$D$501,"&gt;="&amp;($D144-Settings!$B$2),$D$2:$D$501,"&lt;"&amp;$D144)/COUNTIFS($B$2:$B$501,$B144,$D$2:$D$501,"&gt;="&amp;($D144-Settings!$B$2),$D$2:$D$501,"&lt;"&amp;$D144),Settings!$B$3)))</f>
      </c>
      <c r="F144" s="5">
        <f>IF(ISNUMBER($E144),ROUND($C144-$E144,2),"")</f>
      </c>
      <c r="G144" s="5">
        <f>IF(ISNUMBER($F144),COUNTIFS($A$2:$A$501,$A144,$F$2:$F$501,"&gt;"&amp;$F144)+1,"")</f>
      </c>
    </row>
    <row r="145">
      <c r="A145" s="6"/>
      <c r="D145" s="5">
        <f>IF(OR($A145="",$B145="",$C145=""),"",COUNTIFS($B$2:$B$501,$B145,$C$2:$C$501,"&lt;&gt;",$A$2:$A$501,"&lt;"&amp;$A145)+COUNTIFS($B$1:$B144,$B145,$C$1:$C144,"&lt;&gt;",$A$1:$A144,$A145)+1)</f>
      </c>
      <c r="E145" s="5">
        <f>IF($D145="","",IF(OR($D145=1,AND(Settings!$B$4="Yes",$D145&lt;=Settings!$B$2)),IF(COUNTIFS(Players!$A$2:$A$101,$B145,Players!$B$2:$B$101,"&lt;&gt;")=0,"Add a starting quota",ROUND(SUMIFS(Players!$B$2:$B$101,Players!$A$2:$A$101,$B145),Settings!$B$3)),ROUND(SUMIFS($C$2:$C$501,$B$2:$B$501,$B145,$D$2:$D$501,"&gt;="&amp;($D145-Settings!$B$2),$D$2:$D$501,"&lt;"&amp;$D145)/COUNTIFS($B$2:$B$501,$B145,$D$2:$D$501,"&gt;="&amp;($D145-Settings!$B$2),$D$2:$D$501,"&lt;"&amp;$D145),Settings!$B$3)))</f>
      </c>
      <c r="F145" s="5">
        <f>IF(ISNUMBER($E145),ROUND($C145-$E145,2),"")</f>
      </c>
      <c r="G145" s="5">
        <f>IF(ISNUMBER($F145),COUNTIFS($A$2:$A$501,$A145,$F$2:$F$501,"&gt;"&amp;$F145)+1,"")</f>
      </c>
    </row>
    <row r="146">
      <c r="A146" s="6"/>
      <c r="D146" s="5">
        <f>IF(OR($A146="",$B146="",$C146=""),"",COUNTIFS($B$2:$B$501,$B146,$C$2:$C$501,"&lt;&gt;",$A$2:$A$501,"&lt;"&amp;$A146)+COUNTIFS($B$1:$B145,$B146,$C$1:$C145,"&lt;&gt;",$A$1:$A145,$A146)+1)</f>
      </c>
      <c r="E146" s="5">
        <f>IF($D146="","",IF(OR($D146=1,AND(Settings!$B$4="Yes",$D146&lt;=Settings!$B$2)),IF(COUNTIFS(Players!$A$2:$A$101,$B146,Players!$B$2:$B$101,"&lt;&gt;")=0,"Add a starting quota",ROUND(SUMIFS(Players!$B$2:$B$101,Players!$A$2:$A$101,$B146),Settings!$B$3)),ROUND(SUMIFS($C$2:$C$501,$B$2:$B$501,$B146,$D$2:$D$501,"&gt;="&amp;($D146-Settings!$B$2),$D$2:$D$501,"&lt;"&amp;$D146)/COUNTIFS($B$2:$B$501,$B146,$D$2:$D$501,"&gt;="&amp;($D146-Settings!$B$2),$D$2:$D$501,"&lt;"&amp;$D146),Settings!$B$3)))</f>
      </c>
      <c r="F146" s="5">
        <f>IF(ISNUMBER($E146),ROUND($C146-$E146,2),"")</f>
      </c>
      <c r="G146" s="5">
        <f>IF(ISNUMBER($F146),COUNTIFS($A$2:$A$501,$A146,$F$2:$F$501,"&gt;"&amp;$F146)+1,"")</f>
      </c>
    </row>
    <row r="147">
      <c r="A147" s="6"/>
      <c r="D147" s="5">
        <f>IF(OR($A147="",$B147="",$C147=""),"",COUNTIFS($B$2:$B$501,$B147,$C$2:$C$501,"&lt;&gt;",$A$2:$A$501,"&lt;"&amp;$A147)+COUNTIFS($B$1:$B146,$B147,$C$1:$C146,"&lt;&gt;",$A$1:$A146,$A147)+1)</f>
      </c>
      <c r="E147" s="5">
        <f>IF($D147="","",IF(OR($D147=1,AND(Settings!$B$4="Yes",$D147&lt;=Settings!$B$2)),IF(COUNTIFS(Players!$A$2:$A$101,$B147,Players!$B$2:$B$101,"&lt;&gt;")=0,"Add a starting quota",ROUND(SUMIFS(Players!$B$2:$B$101,Players!$A$2:$A$101,$B147),Settings!$B$3)),ROUND(SUMIFS($C$2:$C$501,$B$2:$B$501,$B147,$D$2:$D$501,"&gt;="&amp;($D147-Settings!$B$2),$D$2:$D$501,"&lt;"&amp;$D147)/COUNTIFS($B$2:$B$501,$B147,$D$2:$D$501,"&gt;="&amp;($D147-Settings!$B$2),$D$2:$D$501,"&lt;"&amp;$D147),Settings!$B$3)))</f>
      </c>
      <c r="F147" s="5">
        <f>IF(ISNUMBER($E147),ROUND($C147-$E147,2),"")</f>
      </c>
      <c r="G147" s="5">
        <f>IF(ISNUMBER($F147),COUNTIFS($A$2:$A$501,$A147,$F$2:$F$501,"&gt;"&amp;$F147)+1,"")</f>
      </c>
    </row>
    <row r="148">
      <c r="A148" s="6"/>
      <c r="D148" s="5">
        <f>IF(OR($A148="",$B148="",$C148=""),"",COUNTIFS($B$2:$B$501,$B148,$C$2:$C$501,"&lt;&gt;",$A$2:$A$501,"&lt;"&amp;$A148)+COUNTIFS($B$1:$B147,$B148,$C$1:$C147,"&lt;&gt;",$A$1:$A147,$A148)+1)</f>
      </c>
      <c r="E148" s="5">
        <f>IF($D148="","",IF(OR($D148=1,AND(Settings!$B$4="Yes",$D148&lt;=Settings!$B$2)),IF(COUNTIFS(Players!$A$2:$A$101,$B148,Players!$B$2:$B$101,"&lt;&gt;")=0,"Add a starting quota",ROUND(SUMIFS(Players!$B$2:$B$101,Players!$A$2:$A$101,$B148),Settings!$B$3)),ROUND(SUMIFS($C$2:$C$501,$B$2:$B$501,$B148,$D$2:$D$501,"&gt;="&amp;($D148-Settings!$B$2),$D$2:$D$501,"&lt;"&amp;$D148)/COUNTIFS($B$2:$B$501,$B148,$D$2:$D$501,"&gt;="&amp;($D148-Settings!$B$2),$D$2:$D$501,"&lt;"&amp;$D148),Settings!$B$3)))</f>
      </c>
      <c r="F148" s="5">
        <f>IF(ISNUMBER($E148),ROUND($C148-$E148,2),"")</f>
      </c>
      <c r="G148" s="5">
        <f>IF(ISNUMBER($F148),COUNTIFS($A$2:$A$501,$A148,$F$2:$F$501,"&gt;"&amp;$F148)+1,"")</f>
      </c>
    </row>
    <row r="149">
      <c r="A149" s="6"/>
      <c r="D149" s="5">
        <f>IF(OR($A149="",$B149="",$C149=""),"",COUNTIFS($B$2:$B$501,$B149,$C$2:$C$501,"&lt;&gt;",$A$2:$A$501,"&lt;"&amp;$A149)+COUNTIFS($B$1:$B148,$B149,$C$1:$C148,"&lt;&gt;",$A$1:$A148,$A149)+1)</f>
      </c>
      <c r="E149" s="5">
        <f>IF($D149="","",IF(OR($D149=1,AND(Settings!$B$4="Yes",$D149&lt;=Settings!$B$2)),IF(COUNTIFS(Players!$A$2:$A$101,$B149,Players!$B$2:$B$101,"&lt;&gt;")=0,"Add a starting quota",ROUND(SUMIFS(Players!$B$2:$B$101,Players!$A$2:$A$101,$B149),Settings!$B$3)),ROUND(SUMIFS($C$2:$C$501,$B$2:$B$501,$B149,$D$2:$D$501,"&gt;="&amp;($D149-Settings!$B$2),$D$2:$D$501,"&lt;"&amp;$D149)/COUNTIFS($B$2:$B$501,$B149,$D$2:$D$501,"&gt;="&amp;($D149-Settings!$B$2),$D$2:$D$501,"&lt;"&amp;$D149),Settings!$B$3)))</f>
      </c>
      <c r="F149" s="5">
        <f>IF(ISNUMBER($E149),ROUND($C149-$E149,2),"")</f>
      </c>
      <c r="G149" s="5">
        <f>IF(ISNUMBER($F149),COUNTIFS($A$2:$A$501,$A149,$F$2:$F$501,"&gt;"&amp;$F149)+1,"")</f>
      </c>
    </row>
    <row r="150">
      <c r="A150" s="6"/>
      <c r="D150" s="5">
        <f>IF(OR($A150="",$B150="",$C150=""),"",COUNTIFS($B$2:$B$501,$B150,$C$2:$C$501,"&lt;&gt;",$A$2:$A$501,"&lt;"&amp;$A150)+COUNTIFS($B$1:$B149,$B150,$C$1:$C149,"&lt;&gt;",$A$1:$A149,$A150)+1)</f>
      </c>
      <c r="E150" s="5">
        <f>IF($D150="","",IF(OR($D150=1,AND(Settings!$B$4="Yes",$D150&lt;=Settings!$B$2)),IF(COUNTIFS(Players!$A$2:$A$101,$B150,Players!$B$2:$B$101,"&lt;&gt;")=0,"Add a starting quota",ROUND(SUMIFS(Players!$B$2:$B$101,Players!$A$2:$A$101,$B150),Settings!$B$3)),ROUND(SUMIFS($C$2:$C$501,$B$2:$B$501,$B150,$D$2:$D$501,"&gt;="&amp;($D150-Settings!$B$2),$D$2:$D$501,"&lt;"&amp;$D150)/COUNTIFS($B$2:$B$501,$B150,$D$2:$D$501,"&gt;="&amp;($D150-Settings!$B$2),$D$2:$D$501,"&lt;"&amp;$D150),Settings!$B$3)))</f>
      </c>
      <c r="F150" s="5">
        <f>IF(ISNUMBER($E150),ROUND($C150-$E150,2),"")</f>
      </c>
      <c r="G150" s="5">
        <f>IF(ISNUMBER($F150),COUNTIFS($A$2:$A$501,$A150,$F$2:$F$501,"&gt;"&amp;$F150)+1,"")</f>
      </c>
    </row>
    <row r="151">
      <c r="A151" s="6"/>
      <c r="D151" s="5">
        <f>IF(OR($A151="",$B151="",$C151=""),"",COUNTIFS($B$2:$B$501,$B151,$C$2:$C$501,"&lt;&gt;",$A$2:$A$501,"&lt;"&amp;$A151)+COUNTIFS($B$1:$B150,$B151,$C$1:$C150,"&lt;&gt;",$A$1:$A150,$A151)+1)</f>
      </c>
      <c r="E151" s="5">
        <f>IF($D151="","",IF(OR($D151=1,AND(Settings!$B$4="Yes",$D151&lt;=Settings!$B$2)),IF(COUNTIFS(Players!$A$2:$A$101,$B151,Players!$B$2:$B$101,"&lt;&gt;")=0,"Add a starting quota",ROUND(SUMIFS(Players!$B$2:$B$101,Players!$A$2:$A$101,$B151),Settings!$B$3)),ROUND(SUMIFS($C$2:$C$501,$B$2:$B$501,$B151,$D$2:$D$501,"&gt;="&amp;($D151-Settings!$B$2),$D$2:$D$501,"&lt;"&amp;$D151)/COUNTIFS($B$2:$B$501,$B151,$D$2:$D$501,"&gt;="&amp;($D151-Settings!$B$2),$D$2:$D$501,"&lt;"&amp;$D151),Settings!$B$3)))</f>
      </c>
      <c r="F151" s="5">
        <f>IF(ISNUMBER($E151),ROUND($C151-$E151,2),"")</f>
      </c>
      <c r="G151" s="5">
        <f>IF(ISNUMBER($F151),COUNTIFS($A$2:$A$501,$A151,$F$2:$F$501,"&gt;"&amp;$F151)+1,"")</f>
      </c>
    </row>
    <row r="152">
      <c r="A152" s="6"/>
      <c r="D152" s="5">
        <f>IF(OR($A152="",$B152="",$C152=""),"",COUNTIFS($B$2:$B$501,$B152,$C$2:$C$501,"&lt;&gt;",$A$2:$A$501,"&lt;"&amp;$A152)+COUNTIFS($B$1:$B151,$B152,$C$1:$C151,"&lt;&gt;",$A$1:$A151,$A152)+1)</f>
      </c>
      <c r="E152" s="5">
        <f>IF($D152="","",IF(OR($D152=1,AND(Settings!$B$4="Yes",$D152&lt;=Settings!$B$2)),IF(COUNTIFS(Players!$A$2:$A$101,$B152,Players!$B$2:$B$101,"&lt;&gt;")=0,"Add a starting quota",ROUND(SUMIFS(Players!$B$2:$B$101,Players!$A$2:$A$101,$B152),Settings!$B$3)),ROUND(SUMIFS($C$2:$C$501,$B$2:$B$501,$B152,$D$2:$D$501,"&gt;="&amp;($D152-Settings!$B$2),$D$2:$D$501,"&lt;"&amp;$D152)/COUNTIFS($B$2:$B$501,$B152,$D$2:$D$501,"&gt;="&amp;($D152-Settings!$B$2),$D$2:$D$501,"&lt;"&amp;$D152),Settings!$B$3)))</f>
      </c>
      <c r="F152" s="5">
        <f>IF(ISNUMBER($E152),ROUND($C152-$E152,2),"")</f>
      </c>
      <c r="G152" s="5">
        <f>IF(ISNUMBER($F152),COUNTIFS($A$2:$A$501,$A152,$F$2:$F$501,"&gt;"&amp;$F152)+1,"")</f>
      </c>
    </row>
    <row r="153">
      <c r="A153" s="6"/>
      <c r="D153" s="5">
        <f>IF(OR($A153="",$B153="",$C153=""),"",COUNTIFS($B$2:$B$501,$B153,$C$2:$C$501,"&lt;&gt;",$A$2:$A$501,"&lt;"&amp;$A153)+COUNTIFS($B$1:$B152,$B153,$C$1:$C152,"&lt;&gt;",$A$1:$A152,$A153)+1)</f>
      </c>
      <c r="E153" s="5">
        <f>IF($D153="","",IF(OR($D153=1,AND(Settings!$B$4="Yes",$D153&lt;=Settings!$B$2)),IF(COUNTIFS(Players!$A$2:$A$101,$B153,Players!$B$2:$B$101,"&lt;&gt;")=0,"Add a starting quota",ROUND(SUMIFS(Players!$B$2:$B$101,Players!$A$2:$A$101,$B153),Settings!$B$3)),ROUND(SUMIFS($C$2:$C$501,$B$2:$B$501,$B153,$D$2:$D$501,"&gt;="&amp;($D153-Settings!$B$2),$D$2:$D$501,"&lt;"&amp;$D153)/COUNTIFS($B$2:$B$501,$B153,$D$2:$D$501,"&gt;="&amp;($D153-Settings!$B$2),$D$2:$D$501,"&lt;"&amp;$D153),Settings!$B$3)))</f>
      </c>
      <c r="F153" s="5">
        <f>IF(ISNUMBER($E153),ROUND($C153-$E153,2),"")</f>
      </c>
      <c r="G153" s="5">
        <f>IF(ISNUMBER($F153),COUNTIFS($A$2:$A$501,$A153,$F$2:$F$501,"&gt;"&amp;$F153)+1,"")</f>
      </c>
    </row>
    <row r="154">
      <c r="A154" s="6"/>
      <c r="D154" s="5">
        <f>IF(OR($A154="",$B154="",$C154=""),"",COUNTIFS($B$2:$B$501,$B154,$C$2:$C$501,"&lt;&gt;",$A$2:$A$501,"&lt;"&amp;$A154)+COUNTIFS($B$1:$B153,$B154,$C$1:$C153,"&lt;&gt;",$A$1:$A153,$A154)+1)</f>
      </c>
      <c r="E154" s="5">
        <f>IF($D154="","",IF(OR($D154=1,AND(Settings!$B$4="Yes",$D154&lt;=Settings!$B$2)),IF(COUNTIFS(Players!$A$2:$A$101,$B154,Players!$B$2:$B$101,"&lt;&gt;")=0,"Add a starting quota",ROUND(SUMIFS(Players!$B$2:$B$101,Players!$A$2:$A$101,$B154),Settings!$B$3)),ROUND(SUMIFS($C$2:$C$501,$B$2:$B$501,$B154,$D$2:$D$501,"&gt;="&amp;($D154-Settings!$B$2),$D$2:$D$501,"&lt;"&amp;$D154)/COUNTIFS($B$2:$B$501,$B154,$D$2:$D$501,"&gt;="&amp;($D154-Settings!$B$2),$D$2:$D$501,"&lt;"&amp;$D154),Settings!$B$3)))</f>
      </c>
      <c r="F154" s="5">
        <f>IF(ISNUMBER($E154),ROUND($C154-$E154,2),"")</f>
      </c>
      <c r="G154" s="5">
        <f>IF(ISNUMBER($F154),COUNTIFS($A$2:$A$501,$A154,$F$2:$F$501,"&gt;"&amp;$F154)+1,"")</f>
      </c>
    </row>
    <row r="155">
      <c r="A155" s="6"/>
      <c r="D155" s="5">
        <f>IF(OR($A155="",$B155="",$C155=""),"",COUNTIFS($B$2:$B$501,$B155,$C$2:$C$501,"&lt;&gt;",$A$2:$A$501,"&lt;"&amp;$A155)+COUNTIFS($B$1:$B154,$B155,$C$1:$C154,"&lt;&gt;",$A$1:$A154,$A155)+1)</f>
      </c>
      <c r="E155" s="5">
        <f>IF($D155="","",IF(OR($D155=1,AND(Settings!$B$4="Yes",$D155&lt;=Settings!$B$2)),IF(COUNTIFS(Players!$A$2:$A$101,$B155,Players!$B$2:$B$101,"&lt;&gt;")=0,"Add a starting quota",ROUND(SUMIFS(Players!$B$2:$B$101,Players!$A$2:$A$101,$B155),Settings!$B$3)),ROUND(SUMIFS($C$2:$C$501,$B$2:$B$501,$B155,$D$2:$D$501,"&gt;="&amp;($D155-Settings!$B$2),$D$2:$D$501,"&lt;"&amp;$D155)/COUNTIFS($B$2:$B$501,$B155,$D$2:$D$501,"&gt;="&amp;($D155-Settings!$B$2),$D$2:$D$501,"&lt;"&amp;$D155),Settings!$B$3)))</f>
      </c>
      <c r="F155" s="5">
        <f>IF(ISNUMBER($E155),ROUND($C155-$E155,2),"")</f>
      </c>
      <c r="G155" s="5">
        <f>IF(ISNUMBER($F155),COUNTIFS($A$2:$A$501,$A155,$F$2:$F$501,"&gt;"&amp;$F155)+1,"")</f>
      </c>
    </row>
    <row r="156">
      <c r="A156" s="6"/>
      <c r="D156" s="5">
        <f>IF(OR($A156="",$B156="",$C156=""),"",COUNTIFS($B$2:$B$501,$B156,$C$2:$C$501,"&lt;&gt;",$A$2:$A$501,"&lt;"&amp;$A156)+COUNTIFS($B$1:$B155,$B156,$C$1:$C155,"&lt;&gt;",$A$1:$A155,$A156)+1)</f>
      </c>
      <c r="E156" s="5">
        <f>IF($D156="","",IF(OR($D156=1,AND(Settings!$B$4="Yes",$D156&lt;=Settings!$B$2)),IF(COUNTIFS(Players!$A$2:$A$101,$B156,Players!$B$2:$B$101,"&lt;&gt;")=0,"Add a starting quota",ROUND(SUMIFS(Players!$B$2:$B$101,Players!$A$2:$A$101,$B156),Settings!$B$3)),ROUND(SUMIFS($C$2:$C$501,$B$2:$B$501,$B156,$D$2:$D$501,"&gt;="&amp;($D156-Settings!$B$2),$D$2:$D$501,"&lt;"&amp;$D156)/COUNTIFS($B$2:$B$501,$B156,$D$2:$D$501,"&gt;="&amp;($D156-Settings!$B$2),$D$2:$D$501,"&lt;"&amp;$D156),Settings!$B$3)))</f>
      </c>
      <c r="F156" s="5">
        <f>IF(ISNUMBER($E156),ROUND($C156-$E156,2),"")</f>
      </c>
      <c r="G156" s="5">
        <f>IF(ISNUMBER($F156),COUNTIFS($A$2:$A$501,$A156,$F$2:$F$501,"&gt;"&amp;$F156)+1,"")</f>
      </c>
    </row>
    <row r="157">
      <c r="A157" s="6"/>
      <c r="D157" s="5">
        <f>IF(OR($A157="",$B157="",$C157=""),"",COUNTIFS($B$2:$B$501,$B157,$C$2:$C$501,"&lt;&gt;",$A$2:$A$501,"&lt;"&amp;$A157)+COUNTIFS($B$1:$B156,$B157,$C$1:$C156,"&lt;&gt;",$A$1:$A156,$A157)+1)</f>
      </c>
      <c r="E157" s="5">
        <f>IF($D157="","",IF(OR($D157=1,AND(Settings!$B$4="Yes",$D157&lt;=Settings!$B$2)),IF(COUNTIFS(Players!$A$2:$A$101,$B157,Players!$B$2:$B$101,"&lt;&gt;")=0,"Add a starting quota",ROUND(SUMIFS(Players!$B$2:$B$101,Players!$A$2:$A$101,$B157),Settings!$B$3)),ROUND(SUMIFS($C$2:$C$501,$B$2:$B$501,$B157,$D$2:$D$501,"&gt;="&amp;($D157-Settings!$B$2),$D$2:$D$501,"&lt;"&amp;$D157)/COUNTIFS($B$2:$B$501,$B157,$D$2:$D$501,"&gt;="&amp;($D157-Settings!$B$2),$D$2:$D$501,"&lt;"&amp;$D157),Settings!$B$3)))</f>
      </c>
      <c r="F157" s="5">
        <f>IF(ISNUMBER($E157),ROUND($C157-$E157,2),"")</f>
      </c>
      <c r="G157" s="5">
        <f>IF(ISNUMBER($F157),COUNTIFS($A$2:$A$501,$A157,$F$2:$F$501,"&gt;"&amp;$F157)+1,"")</f>
      </c>
    </row>
    <row r="158">
      <c r="A158" s="6"/>
      <c r="D158" s="5">
        <f>IF(OR($A158="",$B158="",$C158=""),"",COUNTIFS($B$2:$B$501,$B158,$C$2:$C$501,"&lt;&gt;",$A$2:$A$501,"&lt;"&amp;$A158)+COUNTIFS($B$1:$B157,$B158,$C$1:$C157,"&lt;&gt;",$A$1:$A157,$A158)+1)</f>
      </c>
      <c r="E158" s="5">
        <f>IF($D158="","",IF(OR($D158=1,AND(Settings!$B$4="Yes",$D158&lt;=Settings!$B$2)),IF(COUNTIFS(Players!$A$2:$A$101,$B158,Players!$B$2:$B$101,"&lt;&gt;")=0,"Add a starting quota",ROUND(SUMIFS(Players!$B$2:$B$101,Players!$A$2:$A$101,$B158),Settings!$B$3)),ROUND(SUMIFS($C$2:$C$501,$B$2:$B$501,$B158,$D$2:$D$501,"&gt;="&amp;($D158-Settings!$B$2),$D$2:$D$501,"&lt;"&amp;$D158)/COUNTIFS($B$2:$B$501,$B158,$D$2:$D$501,"&gt;="&amp;($D158-Settings!$B$2),$D$2:$D$501,"&lt;"&amp;$D158),Settings!$B$3)))</f>
      </c>
      <c r="F158" s="5">
        <f>IF(ISNUMBER($E158),ROUND($C158-$E158,2),"")</f>
      </c>
      <c r="G158" s="5">
        <f>IF(ISNUMBER($F158),COUNTIFS($A$2:$A$501,$A158,$F$2:$F$501,"&gt;"&amp;$F158)+1,"")</f>
      </c>
    </row>
    <row r="159">
      <c r="A159" s="6"/>
      <c r="D159" s="5">
        <f>IF(OR($A159="",$B159="",$C159=""),"",COUNTIFS($B$2:$B$501,$B159,$C$2:$C$501,"&lt;&gt;",$A$2:$A$501,"&lt;"&amp;$A159)+COUNTIFS($B$1:$B158,$B159,$C$1:$C158,"&lt;&gt;",$A$1:$A158,$A159)+1)</f>
      </c>
      <c r="E159" s="5">
        <f>IF($D159="","",IF(OR($D159=1,AND(Settings!$B$4="Yes",$D159&lt;=Settings!$B$2)),IF(COUNTIFS(Players!$A$2:$A$101,$B159,Players!$B$2:$B$101,"&lt;&gt;")=0,"Add a starting quota",ROUND(SUMIFS(Players!$B$2:$B$101,Players!$A$2:$A$101,$B159),Settings!$B$3)),ROUND(SUMIFS($C$2:$C$501,$B$2:$B$501,$B159,$D$2:$D$501,"&gt;="&amp;($D159-Settings!$B$2),$D$2:$D$501,"&lt;"&amp;$D159)/COUNTIFS($B$2:$B$501,$B159,$D$2:$D$501,"&gt;="&amp;($D159-Settings!$B$2),$D$2:$D$501,"&lt;"&amp;$D159),Settings!$B$3)))</f>
      </c>
      <c r="F159" s="5">
        <f>IF(ISNUMBER($E159),ROUND($C159-$E159,2),"")</f>
      </c>
      <c r="G159" s="5">
        <f>IF(ISNUMBER($F159),COUNTIFS($A$2:$A$501,$A159,$F$2:$F$501,"&gt;"&amp;$F159)+1,"")</f>
      </c>
    </row>
    <row r="160">
      <c r="A160" s="6"/>
      <c r="D160" s="5">
        <f>IF(OR($A160="",$B160="",$C160=""),"",COUNTIFS($B$2:$B$501,$B160,$C$2:$C$501,"&lt;&gt;",$A$2:$A$501,"&lt;"&amp;$A160)+COUNTIFS($B$1:$B159,$B160,$C$1:$C159,"&lt;&gt;",$A$1:$A159,$A160)+1)</f>
      </c>
      <c r="E160" s="5">
        <f>IF($D160="","",IF(OR($D160=1,AND(Settings!$B$4="Yes",$D160&lt;=Settings!$B$2)),IF(COUNTIFS(Players!$A$2:$A$101,$B160,Players!$B$2:$B$101,"&lt;&gt;")=0,"Add a starting quota",ROUND(SUMIFS(Players!$B$2:$B$101,Players!$A$2:$A$101,$B160),Settings!$B$3)),ROUND(SUMIFS($C$2:$C$501,$B$2:$B$501,$B160,$D$2:$D$501,"&gt;="&amp;($D160-Settings!$B$2),$D$2:$D$501,"&lt;"&amp;$D160)/COUNTIFS($B$2:$B$501,$B160,$D$2:$D$501,"&gt;="&amp;($D160-Settings!$B$2),$D$2:$D$501,"&lt;"&amp;$D160),Settings!$B$3)))</f>
      </c>
      <c r="F160" s="5">
        <f>IF(ISNUMBER($E160),ROUND($C160-$E160,2),"")</f>
      </c>
      <c r="G160" s="5">
        <f>IF(ISNUMBER($F160),COUNTIFS($A$2:$A$501,$A160,$F$2:$F$501,"&gt;"&amp;$F160)+1,"")</f>
      </c>
    </row>
    <row r="161">
      <c r="A161" s="6"/>
      <c r="D161" s="5">
        <f>IF(OR($A161="",$B161="",$C161=""),"",COUNTIFS($B$2:$B$501,$B161,$C$2:$C$501,"&lt;&gt;",$A$2:$A$501,"&lt;"&amp;$A161)+COUNTIFS($B$1:$B160,$B161,$C$1:$C160,"&lt;&gt;",$A$1:$A160,$A161)+1)</f>
      </c>
      <c r="E161" s="5">
        <f>IF($D161="","",IF(OR($D161=1,AND(Settings!$B$4="Yes",$D161&lt;=Settings!$B$2)),IF(COUNTIFS(Players!$A$2:$A$101,$B161,Players!$B$2:$B$101,"&lt;&gt;")=0,"Add a starting quota",ROUND(SUMIFS(Players!$B$2:$B$101,Players!$A$2:$A$101,$B161),Settings!$B$3)),ROUND(SUMIFS($C$2:$C$501,$B$2:$B$501,$B161,$D$2:$D$501,"&gt;="&amp;($D161-Settings!$B$2),$D$2:$D$501,"&lt;"&amp;$D161)/COUNTIFS($B$2:$B$501,$B161,$D$2:$D$501,"&gt;="&amp;($D161-Settings!$B$2),$D$2:$D$501,"&lt;"&amp;$D161),Settings!$B$3)))</f>
      </c>
      <c r="F161" s="5">
        <f>IF(ISNUMBER($E161),ROUND($C161-$E161,2),"")</f>
      </c>
      <c r="G161" s="5">
        <f>IF(ISNUMBER($F161),COUNTIFS($A$2:$A$501,$A161,$F$2:$F$501,"&gt;"&amp;$F161)+1,"")</f>
      </c>
    </row>
    <row r="162">
      <c r="A162" s="6"/>
      <c r="D162" s="5">
        <f>IF(OR($A162="",$B162="",$C162=""),"",COUNTIFS($B$2:$B$501,$B162,$C$2:$C$501,"&lt;&gt;",$A$2:$A$501,"&lt;"&amp;$A162)+COUNTIFS($B$1:$B161,$B162,$C$1:$C161,"&lt;&gt;",$A$1:$A161,$A162)+1)</f>
      </c>
      <c r="E162" s="5">
        <f>IF($D162="","",IF(OR($D162=1,AND(Settings!$B$4="Yes",$D162&lt;=Settings!$B$2)),IF(COUNTIFS(Players!$A$2:$A$101,$B162,Players!$B$2:$B$101,"&lt;&gt;")=0,"Add a starting quota",ROUND(SUMIFS(Players!$B$2:$B$101,Players!$A$2:$A$101,$B162),Settings!$B$3)),ROUND(SUMIFS($C$2:$C$501,$B$2:$B$501,$B162,$D$2:$D$501,"&gt;="&amp;($D162-Settings!$B$2),$D$2:$D$501,"&lt;"&amp;$D162)/COUNTIFS($B$2:$B$501,$B162,$D$2:$D$501,"&gt;="&amp;($D162-Settings!$B$2),$D$2:$D$501,"&lt;"&amp;$D162),Settings!$B$3)))</f>
      </c>
      <c r="F162" s="5">
        <f>IF(ISNUMBER($E162),ROUND($C162-$E162,2),"")</f>
      </c>
      <c r="G162" s="5">
        <f>IF(ISNUMBER($F162),COUNTIFS($A$2:$A$501,$A162,$F$2:$F$501,"&gt;"&amp;$F162)+1,"")</f>
      </c>
    </row>
    <row r="163">
      <c r="A163" s="6"/>
      <c r="D163" s="5">
        <f>IF(OR($A163="",$B163="",$C163=""),"",COUNTIFS($B$2:$B$501,$B163,$C$2:$C$501,"&lt;&gt;",$A$2:$A$501,"&lt;"&amp;$A163)+COUNTIFS($B$1:$B162,$B163,$C$1:$C162,"&lt;&gt;",$A$1:$A162,$A163)+1)</f>
      </c>
      <c r="E163" s="5">
        <f>IF($D163="","",IF(OR($D163=1,AND(Settings!$B$4="Yes",$D163&lt;=Settings!$B$2)),IF(COUNTIFS(Players!$A$2:$A$101,$B163,Players!$B$2:$B$101,"&lt;&gt;")=0,"Add a starting quota",ROUND(SUMIFS(Players!$B$2:$B$101,Players!$A$2:$A$101,$B163),Settings!$B$3)),ROUND(SUMIFS($C$2:$C$501,$B$2:$B$501,$B163,$D$2:$D$501,"&gt;="&amp;($D163-Settings!$B$2),$D$2:$D$501,"&lt;"&amp;$D163)/COUNTIFS($B$2:$B$501,$B163,$D$2:$D$501,"&gt;="&amp;($D163-Settings!$B$2),$D$2:$D$501,"&lt;"&amp;$D163),Settings!$B$3)))</f>
      </c>
      <c r="F163" s="5">
        <f>IF(ISNUMBER($E163),ROUND($C163-$E163,2),"")</f>
      </c>
      <c r="G163" s="5">
        <f>IF(ISNUMBER($F163),COUNTIFS($A$2:$A$501,$A163,$F$2:$F$501,"&gt;"&amp;$F163)+1,"")</f>
      </c>
    </row>
    <row r="164">
      <c r="A164" s="6"/>
      <c r="D164" s="5">
        <f>IF(OR($A164="",$B164="",$C164=""),"",COUNTIFS($B$2:$B$501,$B164,$C$2:$C$501,"&lt;&gt;",$A$2:$A$501,"&lt;"&amp;$A164)+COUNTIFS($B$1:$B163,$B164,$C$1:$C163,"&lt;&gt;",$A$1:$A163,$A164)+1)</f>
      </c>
      <c r="E164" s="5">
        <f>IF($D164="","",IF(OR($D164=1,AND(Settings!$B$4="Yes",$D164&lt;=Settings!$B$2)),IF(COUNTIFS(Players!$A$2:$A$101,$B164,Players!$B$2:$B$101,"&lt;&gt;")=0,"Add a starting quota",ROUND(SUMIFS(Players!$B$2:$B$101,Players!$A$2:$A$101,$B164),Settings!$B$3)),ROUND(SUMIFS($C$2:$C$501,$B$2:$B$501,$B164,$D$2:$D$501,"&gt;="&amp;($D164-Settings!$B$2),$D$2:$D$501,"&lt;"&amp;$D164)/COUNTIFS($B$2:$B$501,$B164,$D$2:$D$501,"&gt;="&amp;($D164-Settings!$B$2),$D$2:$D$501,"&lt;"&amp;$D164),Settings!$B$3)))</f>
      </c>
      <c r="F164" s="5">
        <f>IF(ISNUMBER($E164),ROUND($C164-$E164,2),"")</f>
      </c>
      <c r="G164" s="5">
        <f>IF(ISNUMBER($F164),COUNTIFS($A$2:$A$501,$A164,$F$2:$F$501,"&gt;"&amp;$F164)+1,"")</f>
      </c>
    </row>
    <row r="165">
      <c r="A165" s="6"/>
      <c r="D165" s="5">
        <f>IF(OR($A165="",$B165="",$C165=""),"",COUNTIFS($B$2:$B$501,$B165,$C$2:$C$501,"&lt;&gt;",$A$2:$A$501,"&lt;"&amp;$A165)+COUNTIFS($B$1:$B164,$B165,$C$1:$C164,"&lt;&gt;",$A$1:$A164,$A165)+1)</f>
      </c>
      <c r="E165" s="5">
        <f>IF($D165="","",IF(OR($D165=1,AND(Settings!$B$4="Yes",$D165&lt;=Settings!$B$2)),IF(COUNTIFS(Players!$A$2:$A$101,$B165,Players!$B$2:$B$101,"&lt;&gt;")=0,"Add a starting quota",ROUND(SUMIFS(Players!$B$2:$B$101,Players!$A$2:$A$101,$B165),Settings!$B$3)),ROUND(SUMIFS($C$2:$C$501,$B$2:$B$501,$B165,$D$2:$D$501,"&gt;="&amp;($D165-Settings!$B$2),$D$2:$D$501,"&lt;"&amp;$D165)/COUNTIFS($B$2:$B$501,$B165,$D$2:$D$501,"&gt;="&amp;($D165-Settings!$B$2),$D$2:$D$501,"&lt;"&amp;$D165),Settings!$B$3)))</f>
      </c>
      <c r="F165" s="5">
        <f>IF(ISNUMBER($E165),ROUND($C165-$E165,2),"")</f>
      </c>
      <c r="G165" s="5">
        <f>IF(ISNUMBER($F165),COUNTIFS($A$2:$A$501,$A165,$F$2:$F$501,"&gt;"&amp;$F165)+1,"")</f>
      </c>
    </row>
    <row r="166">
      <c r="A166" s="6"/>
      <c r="D166" s="5">
        <f>IF(OR($A166="",$B166="",$C166=""),"",COUNTIFS($B$2:$B$501,$B166,$C$2:$C$501,"&lt;&gt;",$A$2:$A$501,"&lt;"&amp;$A166)+COUNTIFS($B$1:$B165,$B166,$C$1:$C165,"&lt;&gt;",$A$1:$A165,$A166)+1)</f>
      </c>
      <c r="E166" s="5">
        <f>IF($D166="","",IF(OR($D166=1,AND(Settings!$B$4="Yes",$D166&lt;=Settings!$B$2)),IF(COUNTIFS(Players!$A$2:$A$101,$B166,Players!$B$2:$B$101,"&lt;&gt;")=0,"Add a starting quota",ROUND(SUMIFS(Players!$B$2:$B$101,Players!$A$2:$A$101,$B166),Settings!$B$3)),ROUND(SUMIFS($C$2:$C$501,$B$2:$B$501,$B166,$D$2:$D$501,"&gt;="&amp;($D166-Settings!$B$2),$D$2:$D$501,"&lt;"&amp;$D166)/COUNTIFS($B$2:$B$501,$B166,$D$2:$D$501,"&gt;="&amp;($D166-Settings!$B$2),$D$2:$D$501,"&lt;"&amp;$D166),Settings!$B$3)))</f>
      </c>
      <c r="F166" s="5">
        <f>IF(ISNUMBER($E166),ROUND($C166-$E166,2),"")</f>
      </c>
      <c r="G166" s="5">
        <f>IF(ISNUMBER($F166),COUNTIFS($A$2:$A$501,$A166,$F$2:$F$501,"&gt;"&amp;$F166)+1,"")</f>
      </c>
    </row>
    <row r="167">
      <c r="A167" s="6"/>
      <c r="D167" s="5">
        <f>IF(OR($A167="",$B167="",$C167=""),"",COUNTIFS($B$2:$B$501,$B167,$C$2:$C$501,"&lt;&gt;",$A$2:$A$501,"&lt;"&amp;$A167)+COUNTIFS($B$1:$B166,$B167,$C$1:$C166,"&lt;&gt;",$A$1:$A166,$A167)+1)</f>
      </c>
      <c r="E167" s="5">
        <f>IF($D167="","",IF(OR($D167=1,AND(Settings!$B$4="Yes",$D167&lt;=Settings!$B$2)),IF(COUNTIFS(Players!$A$2:$A$101,$B167,Players!$B$2:$B$101,"&lt;&gt;")=0,"Add a starting quota",ROUND(SUMIFS(Players!$B$2:$B$101,Players!$A$2:$A$101,$B167),Settings!$B$3)),ROUND(SUMIFS($C$2:$C$501,$B$2:$B$501,$B167,$D$2:$D$501,"&gt;="&amp;($D167-Settings!$B$2),$D$2:$D$501,"&lt;"&amp;$D167)/COUNTIFS($B$2:$B$501,$B167,$D$2:$D$501,"&gt;="&amp;($D167-Settings!$B$2),$D$2:$D$501,"&lt;"&amp;$D167),Settings!$B$3)))</f>
      </c>
      <c r="F167" s="5">
        <f>IF(ISNUMBER($E167),ROUND($C167-$E167,2),"")</f>
      </c>
      <c r="G167" s="5">
        <f>IF(ISNUMBER($F167),COUNTIFS($A$2:$A$501,$A167,$F$2:$F$501,"&gt;"&amp;$F167)+1,"")</f>
      </c>
    </row>
    <row r="168">
      <c r="A168" s="6"/>
      <c r="D168" s="5">
        <f>IF(OR($A168="",$B168="",$C168=""),"",COUNTIFS($B$2:$B$501,$B168,$C$2:$C$501,"&lt;&gt;",$A$2:$A$501,"&lt;"&amp;$A168)+COUNTIFS($B$1:$B167,$B168,$C$1:$C167,"&lt;&gt;",$A$1:$A167,$A168)+1)</f>
      </c>
      <c r="E168" s="5">
        <f>IF($D168="","",IF(OR($D168=1,AND(Settings!$B$4="Yes",$D168&lt;=Settings!$B$2)),IF(COUNTIFS(Players!$A$2:$A$101,$B168,Players!$B$2:$B$101,"&lt;&gt;")=0,"Add a starting quota",ROUND(SUMIFS(Players!$B$2:$B$101,Players!$A$2:$A$101,$B168),Settings!$B$3)),ROUND(SUMIFS($C$2:$C$501,$B$2:$B$501,$B168,$D$2:$D$501,"&gt;="&amp;($D168-Settings!$B$2),$D$2:$D$501,"&lt;"&amp;$D168)/COUNTIFS($B$2:$B$501,$B168,$D$2:$D$501,"&gt;="&amp;($D168-Settings!$B$2),$D$2:$D$501,"&lt;"&amp;$D168),Settings!$B$3)))</f>
      </c>
      <c r="F168" s="5">
        <f>IF(ISNUMBER($E168),ROUND($C168-$E168,2),"")</f>
      </c>
      <c r="G168" s="5">
        <f>IF(ISNUMBER($F168),COUNTIFS($A$2:$A$501,$A168,$F$2:$F$501,"&gt;"&amp;$F168)+1,"")</f>
      </c>
    </row>
    <row r="169">
      <c r="A169" s="6"/>
      <c r="D169" s="5">
        <f>IF(OR($A169="",$B169="",$C169=""),"",COUNTIFS($B$2:$B$501,$B169,$C$2:$C$501,"&lt;&gt;",$A$2:$A$501,"&lt;"&amp;$A169)+COUNTIFS($B$1:$B168,$B169,$C$1:$C168,"&lt;&gt;",$A$1:$A168,$A169)+1)</f>
      </c>
      <c r="E169" s="5">
        <f>IF($D169="","",IF(OR($D169=1,AND(Settings!$B$4="Yes",$D169&lt;=Settings!$B$2)),IF(COUNTIFS(Players!$A$2:$A$101,$B169,Players!$B$2:$B$101,"&lt;&gt;")=0,"Add a starting quota",ROUND(SUMIFS(Players!$B$2:$B$101,Players!$A$2:$A$101,$B169),Settings!$B$3)),ROUND(SUMIFS($C$2:$C$501,$B$2:$B$501,$B169,$D$2:$D$501,"&gt;="&amp;($D169-Settings!$B$2),$D$2:$D$501,"&lt;"&amp;$D169)/COUNTIFS($B$2:$B$501,$B169,$D$2:$D$501,"&gt;="&amp;($D169-Settings!$B$2),$D$2:$D$501,"&lt;"&amp;$D169),Settings!$B$3)))</f>
      </c>
      <c r="F169" s="5">
        <f>IF(ISNUMBER($E169),ROUND($C169-$E169,2),"")</f>
      </c>
      <c r="G169" s="5">
        <f>IF(ISNUMBER($F169),COUNTIFS($A$2:$A$501,$A169,$F$2:$F$501,"&gt;"&amp;$F169)+1,"")</f>
      </c>
    </row>
    <row r="170">
      <c r="A170" s="6"/>
      <c r="D170" s="5">
        <f>IF(OR($A170="",$B170="",$C170=""),"",COUNTIFS($B$2:$B$501,$B170,$C$2:$C$501,"&lt;&gt;",$A$2:$A$501,"&lt;"&amp;$A170)+COUNTIFS($B$1:$B169,$B170,$C$1:$C169,"&lt;&gt;",$A$1:$A169,$A170)+1)</f>
      </c>
      <c r="E170" s="5">
        <f>IF($D170="","",IF(OR($D170=1,AND(Settings!$B$4="Yes",$D170&lt;=Settings!$B$2)),IF(COUNTIFS(Players!$A$2:$A$101,$B170,Players!$B$2:$B$101,"&lt;&gt;")=0,"Add a starting quota",ROUND(SUMIFS(Players!$B$2:$B$101,Players!$A$2:$A$101,$B170),Settings!$B$3)),ROUND(SUMIFS($C$2:$C$501,$B$2:$B$501,$B170,$D$2:$D$501,"&gt;="&amp;($D170-Settings!$B$2),$D$2:$D$501,"&lt;"&amp;$D170)/COUNTIFS($B$2:$B$501,$B170,$D$2:$D$501,"&gt;="&amp;($D170-Settings!$B$2),$D$2:$D$501,"&lt;"&amp;$D170),Settings!$B$3)))</f>
      </c>
      <c r="F170" s="5">
        <f>IF(ISNUMBER($E170),ROUND($C170-$E170,2),"")</f>
      </c>
      <c r="G170" s="5">
        <f>IF(ISNUMBER($F170),COUNTIFS($A$2:$A$501,$A170,$F$2:$F$501,"&gt;"&amp;$F170)+1,"")</f>
      </c>
    </row>
    <row r="171">
      <c r="A171" s="6"/>
      <c r="D171" s="5">
        <f>IF(OR($A171="",$B171="",$C171=""),"",COUNTIFS($B$2:$B$501,$B171,$C$2:$C$501,"&lt;&gt;",$A$2:$A$501,"&lt;"&amp;$A171)+COUNTIFS($B$1:$B170,$B171,$C$1:$C170,"&lt;&gt;",$A$1:$A170,$A171)+1)</f>
      </c>
      <c r="E171" s="5">
        <f>IF($D171="","",IF(OR($D171=1,AND(Settings!$B$4="Yes",$D171&lt;=Settings!$B$2)),IF(COUNTIFS(Players!$A$2:$A$101,$B171,Players!$B$2:$B$101,"&lt;&gt;")=0,"Add a starting quota",ROUND(SUMIFS(Players!$B$2:$B$101,Players!$A$2:$A$101,$B171),Settings!$B$3)),ROUND(SUMIFS($C$2:$C$501,$B$2:$B$501,$B171,$D$2:$D$501,"&gt;="&amp;($D171-Settings!$B$2),$D$2:$D$501,"&lt;"&amp;$D171)/COUNTIFS($B$2:$B$501,$B171,$D$2:$D$501,"&gt;="&amp;($D171-Settings!$B$2),$D$2:$D$501,"&lt;"&amp;$D171),Settings!$B$3)))</f>
      </c>
      <c r="F171" s="5">
        <f>IF(ISNUMBER($E171),ROUND($C171-$E171,2),"")</f>
      </c>
      <c r="G171" s="5">
        <f>IF(ISNUMBER($F171),COUNTIFS($A$2:$A$501,$A171,$F$2:$F$501,"&gt;"&amp;$F171)+1,"")</f>
      </c>
    </row>
    <row r="172">
      <c r="A172" s="6"/>
      <c r="D172" s="5">
        <f>IF(OR($A172="",$B172="",$C172=""),"",COUNTIFS($B$2:$B$501,$B172,$C$2:$C$501,"&lt;&gt;",$A$2:$A$501,"&lt;"&amp;$A172)+COUNTIFS($B$1:$B171,$B172,$C$1:$C171,"&lt;&gt;",$A$1:$A171,$A172)+1)</f>
      </c>
      <c r="E172" s="5">
        <f>IF($D172="","",IF(OR($D172=1,AND(Settings!$B$4="Yes",$D172&lt;=Settings!$B$2)),IF(COUNTIFS(Players!$A$2:$A$101,$B172,Players!$B$2:$B$101,"&lt;&gt;")=0,"Add a starting quota",ROUND(SUMIFS(Players!$B$2:$B$101,Players!$A$2:$A$101,$B172),Settings!$B$3)),ROUND(SUMIFS($C$2:$C$501,$B$2:$B$501,$B172,$D$2:$D$501,"&gt;="&amp;($D172-Settings!$B$2),$D$2:$D$501,"&lt;"&amp;$D172)/COUNTIFS($B$2:$B$501,$B172,$D$2:$D$501,"&gt;="&amp;($D172-Settings!$B$2),$D$2:$D$501,"&lt;"&amp;$D172),Settings!$B$3)))</f>
      </c>
      <c r="F172" s="5">
        <f>IF(ISNUMBER($E172),ROUND($C172-$E172,2),"")</f>
      </c>
      <c r="G172" s="5">
        <f>IF(ISNUMBER($F172),COUNTIFS($A$2:$A$501,$A172,$F$2:$F$501,"&gt;"&amp;$F172)+1,"")</f>
      </c>
    </row>
    <row r="173">
      <c r="A173" s="6"/>
      <c r="D173" s="5">
        <f>IF(OR($A173="",$B173="",$C173=""),"",COUNTIFS($B$2:$B$501,$B173,$C$2:$C$501,"&lt;&gt;",$A$2:$A$501,"&lt;"&amp;$A173)+COUNTIFS($B$1:$B172,$B173,$C$1:$C172,"&lt;&gt;",$A$1:$A172,$A173)+1)</f>
      </c>
      <c r="E173" s="5">
        <f>IF($D173="","",IF(OR($D173=1,AND(Settings!$B$4="Yes",$D173&lt;=Settings!$B$2)),IF(COUNTIFS(Players!$A$2:$A$101,$B173,Players!$B$2:$B$101,"&lt;&gt;")=0,"Add a starting quota",ROUND(SUMIFS(Players!$B$2:$B$101,Players!$A$2:$A$101,$B173),Settings!$B$3)),ROUND(SUMIFS($C$2:$C$501,$B$2:$B$501,$B173,$D$2:$D$501,"&gt;="&amp;($D173-Settings!$B$2),$D$2:$D$501,"&lt;"&amp;$D173)/COUNTIFS($B$2:$B$501,$B173,$D$2:$D$501,"&gt;="&amp;($D173-Settings!$B$2),$D$2:$D$501,"&lt;"&amp;$D173),Settings!$B$3)))</f>
      </c>
      <c r="F173" s="5">
        <f>IF(ISNUMBER($E173),ROUND($C173-$E173,2),"")</f>
      </c>
      <c r="G173" s="5">
        <f>IF(ISNUMBER($F173),COUNTIFS($A$2:$A$501,$A173,$F$2:$F$501,"&gt;"&amp;$F173)+1,"")</f>
      </c>
    </row>
    <row r="174">
      <c r="A174" s="6"/>
      <c r="D174" s="5">
        <f>IF(OR($A174="",$B174="",$C174=""),"",COUNTIFS($B$2:$B$501,$B174,$C$2:$C$501,"&lt;&gt;",$A$2:$A$501,"&lt;"&amp;$A174)+COUNTIFS($B$1:$B173,$B174,$C$1:$C173,"&lt;&gt;",$A$1:$A173,$A174)+1)</f>
      </c>
      <c r="E174" s="5">
        <f>IF($D174="","",IF(OR($D174=1,AND(Settings!$B$4="Yes",$D174&lt;=Settings!$B$2)),IF(COUNTIFS(Players!$A$2:$A$101,$B174,Players!$B$2:$B$101,"&lt;&gt;")=0,"Add a starting quota",ROUND(SUMIFS(Players!$B$2:$B$101,Players!$A$2:$A$101,$B174),Settings!$B$3)),ROUND(SUMIFS($C$2:$C$501,$B$2:$B$501,$B174,$D$2:$D$501,"&gt;="&amp;($D174-Settings!$B$2),$D$2:$D$501,"&lt;"&amp;$D174)/COUNTIFS($B$2:$B$501,$B174,$D$2:$D$501,"&gt;="&amp;($D174-Settings!$B$2),$D$2:$D$501,"&lt;"&amp;$D174),Settings!$B$3)))</f>
      </c>
      <c r="F174" s="5">
        <f>IF(ISNUMBER($E174),ROUND($C174-$E174,2),"")</f>
      </c>
      <c r="G174" s="5">
        <f>IF(ISNUMBER($F174),COUNTIFS($A$2:$A$501,$A174,$F$2:$F$501,"&gt;"&amp;$F174)+1,"")</f>
      </c>
    </row>
    <row r="175">
      <c r="A175" s="6"/>
      <c r="D175" s="5">
        <f>IF(OR($A175="",$B175="",$C175=""),"",COUNTIFS($B$2:$B$501,$B175,$C$2:$C$501,"&lt;&gt;",$A$2:$A$501,"&lt;"&amp;$A175)+COUNTIFS($B$1:$B174,$B175,$C$1:$C174,"&lt;&gt;",$A$1:$A174,$A175)+1)</f>
      </c>
      <c r="E175" s="5">
        <f>IF($D175="","",IF(OR($D175=1,AND(Settings!$B$4="Yes",$D175&lt;=Settings!$B$2)),IF(COUNTIFS(Players!$A$2:$A$101,$B175,Players!$B$2:$B$101,"&lt;&gt;")=0,"Add a starting quota",ROUND(SUMIFS(Players!$B$2:$B$101,Players!$A$2:$A$101,$B175),Settings!$B$3)),ROUND(SUMIFS($C$2:$C$501,$B$2:$B$501,$B175,$D$2:$D$501,"&gt;="&amp;($D175-Settings!$B$2),$D$2:$D$501,"&lt;"&amp;$D175)/COUNTIFS($B$2:$B$501,$B175,$D$2:$D$501,"&gt;="&amp;($D175-Settings!$B$2),$D$2:$D$501,"&lt;"&amp;$D175),Settings!$B$3)))</f>
      </c>
      <c r="F175" s="5">
        <f>IF(ISNUMBER($E175),ROUND($C175-$E175,2),"")</f>
      </c>
      <c r="G175" s="5">
        <f>IF(ISNUMBER($F175),COUNTIFS($A$2:$A$501,$A175,$F$2:$F$501,"&gt;"&amp;$F175)+1,"")</f>
      </c>
    </row>
    <row r="176">
      <c r="A176" s="6"/>
      <c r="D176" s="5">
        <f>IF(OR($A176="",$B176="",$C176=""),"",COUNTIFS($B$2:$B$501,$B176,$C$2:$C$501,"&lt;&gt;",$A$2:$A$501,"&lt;"&amp;$A176)+COUNTIFS($B$1:$B175,$B176,$C$1:$C175,"&lt;&gt;",$A$1:$A175,$A176)+1)</f>
      </c>
      <c r="E176" s="5">
        <f>IF($D176="","",IF(OR($D176=1,AND(Settings!$B$4="Yes",$D176&lt;=Settings!$B$2)),IF(COUNTIFS(Players!$A$2:$A$101,$B176,Players!$B$2:$B$101,"&lt;&gt;")=0,"Add a starting quota",ROUND(SUMIFS(Players!$B$2:$B$101,Players!$A$2:$A$101,$B176),Settings!$B$3)),ROUND(SUMIFS($C$2:$C$501,$B$2:$B$501,$B176,$D$2:$D$501,"&gt;="&amp;($D176-Settings!$B$2),$D$2:$D$501,"&lt;"&amp;$D176)/COUNTIFS($B$2:$B$501,$B176,$D$2:$D$501,"&gt;="&amp;($D176-Settings!$B$2),$D$2:$D$501,"&lt;"&amp;$D176),Settings!$B$3)))</f>
      </c>
      <c r="F176" s="5">
        <f>IF(ISNUMBER($E176),ROUND($C176-$E176,2),"")</f>
      </c>
      <c r="G176" s="5">
        <f>IF(ISNUMBER($F176),COUNTIFS($A$2:$A$501,$A176,$F$2:$F$501,"&gt;"&amp;$F176)+1,"")</f>
      </c>
    </row>
    <row r="177">
      <c r="A177" s="6"/>
      <c r="D177" s="5">
        <f>IF(OR($A177="",$B177="",$C177=""),"",COUNTIFS($B$2:$B$501,$B177,$C$2:$C$501,"&lt;&gt;",$A$2:$A$501,"&lt;"&amp;$A177)+COUNTIFS($B$1:$B176,$B177,$C$1:$C176,"&lt;&gt;",$A$1:$A176,$A177)+1)</f>
      </c>
      <c r="E177" s="5">
        <f>IF($D177="","",IF(OR($D177=1,AND(Settings!$B$4="Yes",$D177&lt;=Settings!$B$2)),IF(COUNTIFS(Players!$A$2:$A$101,$B177,Players!$B$2:$B$101,"&lt;&gt;")=0,"Add a starting quota",ROUND(SUMIFS(Players!$B$2:$B$101,Players!$A$2:$A$101,$B177),Settings!$B$3)),ROUND(SUMIFS($C$2:$C$501,$B$2:$B$501,$B177,$D$2:$D$501,"&gt;="&amp;($D177-Settings!$B$2),$D$2:$D$501,"&lt;"&amp;$D177)/COUNTIFS($B$2:$B$501,$B177,$D$2:$D$501,"&gt;="&amp;($D177-Settings!$B$2),$D$2:$D$501,"&lt;"&amp;$D177),Settings!$B$3)))</f>
      </c>
      <c r="F177" s="5">
        <f>IF(ISNUMBER($E177),ROUND($C177-$E177,2),"")</f>
      </c>
      <c r="G177" s="5">
        <f>IF(ISNUMBER($F177),COUNTIFS($A$2:$A$501,$A177,$F$2:$F$501,"&gt;"&amp;$F177)+1,"")</f>
      </c>
    </row>
    <row r="178">
      <c r="A178" s="6"/>
      <c r="D178" s="5">
        <f>IF(OR($A178="",$B178="",$C178=""),"",COUNTIFS($B$2:$B$501,$B178,$C$2:$C$501,"&lt;&gt;",$A$2:$A$501,"&lt;"&amp;$A178)+COUNTIFS($B$1:$B177,$B178,$C$1:$C177,"&lt;&gt;",$A$1:$A177,$A178)+1)</f>
      </c>
      <c r="E178" s="5">
        <f>IF($D178="","",IF(OR($D178=1,AND(Settings!$B$4="Yes",$D178&lt;=Settings!$B$2)),IF(COUNTIFS(Players!$A$2:$A$101,$B178,Players!$B$2:$B$101,"&lt;&gt;")=0,"Add a starting quota",ROUND(SUMIFS(Players!$B$2:$B$101,Players!$A$2:$A$101,$B178),Settings!$B$3)),ROUND(SUMIFS($C$2:$C$501,$B$2:$B$501,$B178,$D$2:$D$501,"&gt;="&amp;($D178-Settings!$B$2),$D$2:$D$501,"&lt;"&amp;$D178)/COUNTIFS($B$2:$B$501,$B178,$D$2:$D$501,"&gt;="&amp;($D178-Settings!$B$2),$D$2:$D$501,"&lt;"&amp;$D178),Settings!$B$3)))</f>
      </c>
      <c r="F178" s="5">
        <f>IF(ISNUMBER($E178),ROUND($C178-$E178,2),"")</f>
      </c>
      <c r="G178" s="5">
        <f>IF(ISNUMBER($F178),COUNTIFS($A$2:$A$501,$A178,$F$2:$F$501,"&gt;"&amp;$F178)+1,"")</f>
      </c>
    </row>
    <row r="179">
      <c r="A179" s="6"/>
      <c r="D179" s="5">
        <f>IF(OR($A179="",$B179="",$C179=""),"",COUNTIFS($B$2:$B$501,$B179,$C$2:$C$501,"&lt;&gt;",$A$2:$A$501,"&lt;"&amp;$A179)+COUNTIFS($B$1:$B178,$B179,$C$1:$C178,"&lt;&gt;",$A$1:$A178,$A179)+1)</f>
      </c>
      <c r="E179" s="5">
        <f>IF($D179="","",IF(OR($D179=1,AND(Settings!$B$4="Yes",$D179&lt;=Settings!$B$2)),IF(COUNTIFS(Players!$A$2:$A$101,$B179,Players!$B$2:$B$101,"&lt;&gt;")=0,"Add a starting quota",ROUND(SUMIFS(Players!$B$2:$B$101,Players!$A$2:$A$101,$B179),Settings!$B$3)),ROUND(SUMIFS($C$2:$C$501,$B$2:$B$501,$B179,$D$2:$D$501,"&gt;="&amp;($D179-Settings!$B$2),$D$2:$D$501,"&lt;"&amp;$D179)/COUNTIFS($B$2:$B$501,$B179,$D$2:$D$501,"&gt;="&amp;($D179-Settings!$B$2),$D$2:$D$501,"&lt;"&amp;$D179),Settings!$B$3)))</f>
      </c>
      <c r="F179" s="5">
        <f>IF(ISNUMBER($E179),ROUND($C179-$E179,2),"")</f>
      </c>
      <c r="G179" s="5">
        <f>IF(ISNUMBER($F179),COUNTIFS($A$2:$A$501,$A179,$F$2:$F$501,"&gt;"&amp;$F179)+1,"")</f>
      </c>
    </row>
    <row r="180">
      <c r="A180" s="6"/>
      <c r="D180" s="5">
        <f>IF(OR($A180="",$B180="",$C180=""),"",COUNTIFS($B$2:$B$501,$B180,$C$2:$C$501,"&lt;&gt;",$A$2:$A$501,"&lt;"&amp;$A180)+COUNTIFS($B$1:$B179,$B180,$C$1:$C179,"&lt;&gt;",$A$1:$A179,$A180)+1)</f>
      </c>
      <c r="E180" s="5">
        <f>IF($D180="","",IF(OR($D180=1,AND(Settings!$B$4="Yes",$D180&lt;=Settings!$B$2)),IF(COUNTIFS(Players!$A$2:$A$101,$B180,Players!$B$2:$B$101,"&lt;&gt;")=0,"Add a starting quota",ROUND(SUMIFS(Players!$B$2:$B$101,Players!$A$2:$A$101,$B180),Settings!$B$3)),ROUND(SUMIFS($C$2:$C$501,$B$2:$B$501,$B180,$D$2:$D$501,"&gt;="&amp;($D180-Settings!$B$2),$D$2:$D$501,"&lt;"&amp;$D180)/COUNTIFS($B$2:$B$501,$B180,$D$2:$D$501,"&gt;="&amp;($D180-Settings!$B$2),$D$2:$D$501,"&lt;"&amp;$D180),Settings!$B$3)))</f>
      </c>
      <c r="F180" s="5">
        <f>IF(ISNUMBER($E180),ROUND($C180-$E180,2),"")</f>
      </c>
      <c r="G180" s="5">
        <f>IF(ISNUMBER($F180),COUNTIFS($A$2:$A$501,$A180,$F$2:$F$501,"&gt;"&amp;$F180)+1,"")</f>
      </c>
    </row>
    <row r="181">
      <c r="A181" s="6"/>
      <c r="D181" s="5">
        <f>IF(OR($A181="",$B181="",$C181=""),"",COUNTIFS($B$2:$B$501,$B181,$C$2:$C$501,"&lt;&gt;",$A$2:$A$501,"&lt;"&amp;$A181)+COUNTIFS($B$1:$B180,$B181,$C$1:$C180,"&lt;&gt;",$A$1:$A180,$A181)+1)</f>
      </c>
      <c r="E181" s="5">
        <f>IF($D181="","",IF(OR($D181=1,AND(Settings!$B$4="Yes",$D181&lt;=Settings!$B$2)),IF(COUNTIFS(Players!$A$2:$A$101,$B181,Players!$B$2:$B$101,"&lt;&gt;")=0,"Add a starting quota",ROUND(SUMIFS(Players!$B$2:$B$101,Players!$A$2:$A$101,$B181),Settings!$B$3)),ROUND(SUMIFS($C$2:$C$501,$B$2:$B$501,$B181,$D$2:$D$501,"&gt;="&amp;($D181-Settings!$B$2),$D$2:$D$501,"&lt;"&amp;$D181)/COUNTIFS($B$2:$B$501,$B181,$D$2:$D$501,"&gt;="&amp;($D181-Settings!$B$2),$D$2:$D$501,"&lt;"&amp;$D181),Settings!$B$3)))</f>
      </c>
      <c r="F181" s="5">
        <f>IF(ISNUMBER($E181),ROUND($C181-$E181,2),"")</f>
      </c>
      <c r="G181" s="5">
        <f>IF(ISNUMBER($F181),COUNTIFS($A$2:$A$501,$A181,$F$2:$F$501,"&gt;"&amp;$F181)+1,"")</f>
      </c>
    </row>
    <row r="182">
      <c r="A182" s="6"/>
      <c r="D182" s="5">
        <f>IF(OR($A182="",$B182="",$C182=""),"",COUNTIFS($B$2:$B$501,$B182,$C$2:$C$501,"&lt;&gt;",$A$2:$A$501,"&lt;"&amp;$A182)+COUNTIFS($B$1:$B181,$B182,$C$1:$C181,"&lt;&gt;",$A$1:$A181,$A182)+1)</f>
      </c>
      <c r="E182" s="5">
        <f>IF($D182="","",IF(OR($D182=1,AND(Settings!$B$4="Yes",$D182&lt;=Settings!$B$2)),IF(COUNTIFS(Players!$A$2:$A$101,$B182,Players!$B$2:$B$101,"&lt;&gt;")=0,"Add a starting quota",ROUND(SUMIFS(Players!$B$2:$B$101,Players!$A$2:$A$101,$B182),Settings!$B$3)),ROUND(SUMIFS($C$2:$C$501,$B$2:$B$501,$B182,$D$2:$D$501,"&gt;="&amp;($D182-Settings!$B$2),$D$2:$D$501,"&lt;"&amp;$D182)/COUNTIFS($B$2:$B$501,$B182,$D$2:$D$501,"&gt;="&amp;($D182-Settings!$B$2),$D$2:$D$501,"&lt;"&amp;$D182),Settings!$B$3)))</f>
      </c>
      <c r="F182" s="5">
        <f>IF(ISNUMBER($E182),ROUND($C182-$E182,2),"")</f>
      </c>
      <c r="G182" s="5">
        <f>IF(ISNUMBER($F182),COUNTIFS($A$2:$A$501,$A182,$F$2:$F$501,"&gt;"&amp;$F182)+1,"")</f>
      </c>
    </row>
    <row r="183">
      <c r="A183" s="6"/>
      <c r="D183" s="5">
        <f>IF(OR($A183="",$B183="",$C183=""),"",COUNTIFS($B$2:$B$501,$B183,$C$2:$C$501,"&lt;&gt;",$A$2:$A$501,"&lt;"&amp;$A183)+COUNTIFS($B$1:$B182,$B183,$C$1:$C182,"&lt;&gt;",$A$1:$A182,$A183)+1)</f>
      </c>
      <c r="E183" s="5">
        <f>IF($D183="","",IF(OR($D183=1,AND(Settings!$B$4="Yes",$D183&lt;=Settings!$B$2)),IF(COUNTIFS(Players!$A$2:$A$101,$B183,Players!$B$2:$B$101,"&lt;&gt;")=0,"Add a starting quota",ROUND(SUMIFS(Players!$B$2:$B$101,Players!$A$2:$A$101,$B183),Settings!$B$3)),ROUND(SUMIFS($C$2:$C$501,$B$2:$B$501,$B183,$D$2:$D$501,"&gt;="&amp;($D183-Settings!$B$2),$D$2:$D$501,"&lt;"&amp;$D183)/COUNTIFS($B$2:$B$501,$B183,$D$2:$D$501,"&gt;="&amp;($D183-Settings!$B$2),$D$2:$D$501,"&lt;"&amp;$D183),Settings!$B$3)))</f>
      </c>
      <c r="F183" s="5">
        <f>IF(ISNUMBER($E183),ROUND($C183-$E183,2),"")</f>
      </c>
      <c r="G183" s="5">
        <f>IF(ISNUMBER($F183),COUNTIFS($A$2:$A$501,$A183,$F$2:$F$501,"&gt;"&amp;$F183)+1,"")</f>
      </c>
    </row>
    <row r="184">
      <c r="A184" s="6"/>
      <c r="D184" s="5">
        <f>IF(OR($A184="",$B184="",$C184=""),"",COUNTIFS($B$2:$B$501,$B184,$C$2:$C$501,"&lt;&gt;",$A$2:$A$501,"&lt;"&amp;$A184)+COUNTIFS($B$1:$B183,$B184,$C$1:$C183,"&lt;&gt;",$A$1:$A183,$A184)+1)</f>
      </c>
      <c r="E184" s="5">
        <f>IF($D184="","",IF(OR($D184=1,AND(Settings!$B$4="Yes",$D184&lt;=Settings!$B$2)),IF(COUNTIFS(Players!$A$2:$A$101,$B184,Players!$B$2:$B$101,"&lt;&gt;")=0,"Add a starting quota",ROUND(SUMIFS(Players!$B$2:$B$101,Players!$A$2:$A$101,$B184),Settings!$B$3)),ROUND(SUMIFS($C$2:$C$501,$B$2:$B$501,$B184,$D$2:$D$501,"&gt;="&amp;($D184-Settings!$B$2),$D$2:$D$501,"&lt;"&amp;$D184)/COUNTIFS($B$2:$B$501,$B184,$D$2:$D$501,"&gt;="&amp;($D184-Settings!$B$2),$D$2:$D$501,"&lt;"&amp;$D184),Settings!$B$3)))</f>
      </c>
      <c r="F184" s="5">
        <f>IF(ISNUMBER($E184),ROUND($C184-$E184,2),"")</f>
      </c>
      <c r="G184" s="5">
        <f>IF(ISNUMBER($F184),COUNTIFS($A$2:$A$501,$A184,$F$2:$F$501,"&gt;"&amp;$F184)+1,"")</f>
      </c>
    </row>
    <row r="185">
      <c r="A185" s="6"/>
      <c r="D185" s="5">
        <f>IF(OR($A185="",$B185="",$C185=""),"",COUNTIFS($B$2:$B$501,$B185,$C$2:$C$501,"&lt;&gt;",$A$2:$A$501,"&lt;"&amp;$A185)+COUNTIFS($B$1:$B184,$B185,$C$1:$C184,"&lt;&gt;",$A$1:$A184,$A185)+1)</f>
      </c>
      <c r="E185" s="5">
        <f>IF($D185="","",IF(OR($D185=1,AND(Settings!$B$4="Yes",$D185&lt;=Settings!$B$2)),IF(COUNTIFS(Players!$A$2:$A$101,$B185,Players!$B$2:$B$101,"&lt;&gt;")=0,"Add a starting quota",ROUND(SUMIFS(Players!$B$2:$B$101,Players!$A$2:$A$101,$B185),Settings!$B$3)),ROUND(SUMIFS($C$2:$C$501,$B$2:$B$501,$B185,$D$2:$D$501,"&gt;="&amp;($D185-Settings!$B$2),$D$2:$D$501,"&lt;"&amp;$D185)/COUNTIFS($B$2:$B$501,$B185,$D$2:$D$501,"&gt;="&amp;($D185-Settings!$B$2),$D$2:$D$501,"&lt;"&amp;$D185),Settings!$B$3)))</f>
      </c>
      <c r="F185" s="5">
        <f>IF(ISNUMBER($E185),ROUND($C185-$E185,2),"")</f>
      </c>
      <c r="G185" s="5">
        <f>IF(ISNUMBER($F185),COUNTIFS($A$2:$A$501,$A185,$F$2:$F$501,"&gt;"&amp;$F185)+1,"")</f>
      </c>
    </row>
    <row r="186">
      <c r="A186" s="6"/>
      <c r="D186" s="5">
        <f>IF(OR($A186="",$B186="",$C186=""),"",COUNTIFS($B$2:$B$501,$B186,$C$2:$C$501,"&lt;&gt;",$A$2:$A$501,"&lt;"&amp;$A186)+COUNTIFS($B$1:$B185,$B186,$C$1:$C185,"&lt;&gt;",$A$1:$A185,$A186)+1)</f>
      </c>
      <c r="E186" s="5">
        <f>IF($D186="","",IF(OR($D186=1,AND(Settings!$B$4="Yes",$D186&lt;=Settings!$B$2)),IF(COUNTIFS(Players!$A$2:$A$101,$B186,Players!$B$2:$B$101,"&lt;&gt;")=0,"Add a starting quota",ROUND(SUMIFS(Players!$B$2:$B$101,Players!$A$2:$A$101,$B186),Settings!$B$3)),ROUND(SUMIFS($C$2:$C$501,$B$2:$B$501,$B186,$D$2:$D$501,"&gt;="&amp;($D186-Settings!$B$2),$D$2:$D$501,"&lt;"&amp;$D186)/COUNTIFS($B$2:$B$501,$B186,$D$2:$D$501,"&gt;="&amp;($D186-Settings!$B$2),$D$2:$D$501,"&lt;"&amp;$D186),Settings!$B$3)))</f>
      </c>
      <c r="F186" s="5">
        <f>IF(ISNUMBER($E186),ROUND($C186-$E186,2),"")</f>
      </c>
      <c r="G186" s="5">
        <f>IF(ISNUMBER($F186),COUNTIFS($A$2:$A$501,$A186,$F$2:$F$501,"&gt;"&amp;$F186)+1,"")</f>
      </c>
    </row>
    <row r="187">
      <c r="A187" s="6"/>
      <c r="D187" s="5">
        <f>IF(OR($A187="",$B187="",$C187=""),"",COUNTIFS($B$2:$B$501,$B187,$C$2:$C$501,"&lt;&gt;",$A$2:$A$501,"&lt;"&amp;$A187)+COUNTIFS($B$1:$B186,$B187,$C$1:$C186,"&lt;&gt;",$A$1:$A186,$A187)+1)</f>
      </c>
      <c r="E187" s="5">
        <f>IF($D187="","",IF(OR($D187=1,AND(Settings!$B$4="Yes",$D187&lt;=Settings!$B$2)),IF(COUNTIFS(Players!$A$2:$A$101,$B187,Players!$B$2:$B$101,"&lt;&gt;")=0,"Add a starting quota",ROUND(SUMIFS(Players!$B$2:$B$101,Players!$A$2:$A$101,$B187),Settings!$B$3)),ROUND(SUMIFS($C$2:$C$501,$B$2:$B$501,$B187,$D$2:$D$501,"&gt;="&amp;($D187-Settings!$B$2),$D$2:$D$501,"&lt;"&amp;$D187)/COUNTIFS($B$2:$B$501,$B187,$D$2:$D$501,"&gt;="&amp;($D187-Settings!$B$2),$D$2:$D$501,"&lt;"&amp;$D187),Settings!$B$3)))</f>
      </c>
      <c r="F187" s="5">
        <f>IF(ISNUMBER($E187),ROUND($C187-$E187,2),"")</f>
      </c>
      <c r="G187" s="5">
        <f>IF(ISNUMBER($F187),COUNTIFS($A$2:$A$501,$A187,$F$2:$F$501,"&gt;"&amp;$F187)+1,"")</f>
      </c>
    </row>
    <row r="188">
      <c r="A188" s="6"/>
      <c r="D188" s="5">
        <f>IF(OR($A188="",$B188="",$C188=""),"",COUNTIFS($B$2:$B$501,$B188,$C$2:$C$501,"&lt;&gt;",$A$2:$A$501,"&lt;"&amp;$A188)+COUNTIFS($B$1:$B187,$B188,$C$1:$C187,"&lt;&gt;",$A$1:$A187,$A188)+1)</f>
      </c>
      <c r="E188" s="5">
        <f>IF($D188="","",IF(OR($D188=1,AND(Settings!$B$4="Yes",$D188&lt;=Settings!$B$2)),IF(COUNTIFS(Players!$A$2:$A$101,$B188,Players!$B$2:$B$101,"&lt;&gt;")=0,"Add a starting quota",ROUND(SUMIFS(Players!$B$2:$B$101,Players!$A$2:$A$101,$B188),Settings!$B$3)),ROUND(SUMIFS($C$2:$C$501,$B$2:$B$501,$B188,$D$2:$D$501,"&gt;="&amp;($D188-Settings!$B$2),$D$2:$D$501,"&lt;"&amp;$D188)/COUNTIFS($B$2:$B$501,$B188,$D$2:$D$501,"&gt;="&amp;($D188-Settings!$B$2),$D$2:$D$501,"&lt;"&amp;$D188),Settings!$B$3)))</f>
      </c>
      <c r="F188" s="5">
        <f>IF(ISNUMBER($E188),ROUND($C188-$E188,2),"")</f>
      </c>
      <c r="G188" s="5">
        <f>IF(ISNUMBER($F188),COUNTIFS($A$2:$A$501,$A188,$F$2:$F$501,"&gt;"&amp;$F188)+1,"")</f>
      </c>
    </row>
    <row r="189">
      <c r="A189" s="6"/>
      <c r="D189" s="5">
        <f>IF(OR($A189="",$B189="",$C189=""),"",COUNTIFS($B$2:$B$501,$B189,$C$2:$C$501,"&lt;&gt;",$A$2:$A$501,"&lt;"&amp;$A189)+COUNTIFS($B$1:$B188,$B189,$C$1:$C188,"&lt;&gt;",$A$1:$A188,$A189)+1)</f>
      </c>
      <c r="E189" s="5">
        <f>IF($D189="","",IF(OR($D189=1,AND(Settings!$B$4="Yes",$D189&lt;=Settings!$B$2)),IF(COUNTIFS(Players!$A$2:$A$101,$B189,Players!$B$2:$B$101,"&lt;&gt;")=0,"Add a starting quota",ROUND(SUMIFS(Players!$B$2:$B$101,Players!$A$2:$A$101,$B189),Settings!$B$3)),ROUND(SUMIFS($C$2:$C$501,$B$2:$B$501,$B189,$D$2:$D$501,"&gt;="&amp;($D189-Settings!$B$2),$D$2:$D$501,"&lt;"&amp;$D189)/COUNTIFS($B$2:$B$501,$B189,$D$2:$D$501,"&gt;="&amp;($D189-Settings!$B$2),$D$2:$D$501,"&lt;"&amp;$D189),Settings!$B$3)))</f>
      </c>
      <c r="F189" s="5">
        <f>IF(ISNUMBER($E189),ROUND($C189-$E189,2),"")</f>
      </c>
      <c r="G189" s="5">
        <f>IF(ISNUMBER($F189),COUNTIFS($A$2:$A$501,$A189,$F$2:$F$501,"&gt;"&amp;$F189)+1,"")</f>
      </c>
    </row>
    <row r="190">
      <c r="A190" s="6"/>
      <c r="D190" s="5">
        <f>IF(OR($A190="",$B190="",$C190=""),"",COUNTIFS($B$2:$B$501,$B190,$C$2:$C$501,"&lt;&gt;",$A$2:$A$501,"&lt;"&amp;$A190)+COUNTIFS($B$1:$B189,$B190,$C$1:$C189,"&lt;&gt;",$A$1:$A189,$A190)+1)</f>
      </c>
      <c r="E190" s="5">
        <f>IF($D190="","",IF(OR($D190=1,AND(Settings!$B$4="Yes",$D190&lt;=Settings!$B$2)),IF(COUNTIFS(Players!$A$2:$A$101,$B190,Players!$B$2:$B$101,"&lt;&gt;")=0,"Add a starting quota",ROUND(SUMIFS(Players!$B$2:$B$101,Players!$A$2:$A$101,$B190),Settings!$B$3)),ROUND(SUMIFS($C$2:$C$501,$B$2:$B$501,$B190,$D$2:$D$501,"&gt;="&amp;($D190-Settings!$B$2),$D$2:$D$501,"&lt;"&amp;$D190)/COUNTIFS($B$2:$B$501,$B190,$D$2:$D$501,"&gt;="&amp;($D190-Settings!$B$2),$D$2:$D$501,"&lt;"&amp;$D190),Settings!$B$3)))</f>
      </c>
      <c r="F190" s="5">
        <f>IF(ISNUMBER($E190),ROUND($C190-$E190,2),"")</f>
      </c>
      <c r="G190" s="5">
        <f>IF(ISNUMBER($F190),COUNTIFS($A$2:$A$501,$A190,$F$2:$F$501,"&gt;"&amp;$F190)+1,"")</f>
      </c>
    </row>
    <row r="191">
      <c r="A191" s="6"/>
      <c r="D191" s="5">
        <f>IF(OR($A191="",$B191="",$C191=""),"",COUNTIFS($B$2:$B$501,$B191,$C$2:$C$501,"&lt;&gt;",$A$2:$A$501,"&lt;"&amp;$A191)+COUNTIFS($B$1:$B190,$B191,$C$1:$C190,"&lt;&gt;",$A$1:$A190,$A191)+1)</f>
      </c>
      <c r="E191" s="5">
        <f>IF($D191="","",IF(OR($D191=1,AND(Settings!$B$4="Yes",$D191&lt;=Settings!$B$2)),IF(COUNTIFS(Players!$A$2:$A$101,$B191,Players!$B$2:$B$101,"&lt;&gt;")=0,"Add a starting quota",ROUND(SUMIFS(Players!$B$2:$B$101,Players!$A$2:$A$101,$B191),Settings!$B$3)),ROUND(SUMIFS($C$2:$C$501,$B$2:$B$501,$B191,$D$2:$D$501,"&gt;="&amp;($D191-Settings!$B$2),$D$2:$D$501,"&lt;"&amp;$D191)/COUNTIFS($B$2:$B$501,$B191,$D$2:$D$501,"&gt;="&amp;($D191-Settings!$B$2),$D$2:$D$501,"&lt;"&amp;$D191),Settings!$B$3)))</f>
      </c>
      <c r="F191" s="5">
        <f>IF(ISNUMBER($E191),ROUND($C191-$E191,2),"")</f>
      </c>
      <c r="G191" s="5">
        <f>IF(ISNUMBER($F191),COUNTIFS($A$2:$A$501,$A191,$F$2:$F$501,"&gt;"&amp;$F191)+1,"")</f>
      </c>
    </row>
    <row r="192">
      <c r="A192" s="6"/>
      <c r="D192" s="5">
        <f>IF(OR($A192="",$B192="",$C192=""),"",COUNTIFS($B$2:$B$501,$B192,$C$2:$C$501,"&lt;&gt;",$A$2:$A$501,"&lt;"&amp;$A192)+COUNTIFS($B$1:$B191,$B192,$C$1:$C191,"&lt;&gt;",$A$1:$A191,$A192)+1)</f>
      </c>
      <c r="E192" s="5">
        <f>IF($D192="","",IF(OR($D192=1,AND(Settings!$B$4="Yes",$D192&lt;=Settings!$B$2)),IF(COUNTIFS(Players!$A$2:$A$101,$B192,Players!$B$2:$B$101,"&lt;&gt;")=0,"Add a starting quota",ROUND(SUMIFS(Players!$B$2:$B$101,Players!$A$2:$A$101,$B192),Settings!$B$3)),ROUND(SUMIFS($C$2:$C$501,$B$2:$B$501,$B192,$D$2:$D$501,"&gt;="&amp;($D192-Settings!$B$2),$D$2:$D$501,"&lt;"&amp;$D192)/COUNTIFS($B$2:$B$501,$B192,$D$2:$D$501,"&gt;="&amp;($D192-Settings!$B$2),$D$2:$D$501,"&lt;"&amp;$D192),Settings!$B$3)))</f>
      </c>
      <c r="F192" s="5">
        <f>IF(ISNUMBER($E192),ROUND($C192-$E192,2),"")</f>
      </c>
      <c r="G192" s="5">
        <f>IF(ISNUMBER($F192),COUNTIFS($A$2:$A$501,$A192,$F$2:$F$501,"&gt;"&amp;$F192)+1,"")</f>
      </c>
    </row>
    <row r="193">
      <c r="A193" s="6"/>
      <c r="D193" s="5">
        <f>IF(OR($A193="",$B193="",$C193=""),"",COUNTIFS($B$2:$B$501,$B193,$C$2:$C$501,"&lt;&gt;",$A$2:$A$501,"&lt;"&amp;$A193)+COUNTIFS($B$1:$B192,$B193,$C$1:$C192,"&lt;&gt;",$A$1:$A192,$A193)+1)</f>
      </c>
      <c r="E193" s="5">
        <f>IF($D193="","",IF(OR($D193=1,AND(Settings!$B$4="Yes",$D193&lt;=Settings!$B$2)),IF(COUNTIFS(Players!$A$2:$A$101,$B193,Players!$B$2:$B$101,"&lt;&gt;")=0,"Add a starting quota",ROUND(SUMIFS(Players!$B$2:$B$101,Players!$A$2:$A$101,$B193),Settings!$B$3)),ROUND(SUMIFS($C$2:$C$501,$B$2:$B$501,$B193,$D$2:$D$501,"&gt;="&amp;($D193-Settings!$B$2),$D$2:$D$501,"&lt;"&amp;$D193)/COUNTIFS($B$2:$B$501,$B193,$D$2:$D$501,"&gt;="&amp;($D193-Settings!$B$2),$D$2:$D$501,"&lt;"&amp;$D193),Settings!$B$3)))</f>
      </c>
      <c r="F193" s="5">
        <f>IF(ISNUMBER($E193),ROUND($C193-$E193,2),"")</f>
      </c>
      <c r="G193" s="5">
        <f>IF(ISNUMBER($F193),COUNTIFS($A$2:$A$501,$A193,$F$2:$F$501,"&gt;"&amp;$F193)+1,"")</f>
      </c>
    </row>
    <row r="194">
      <c r="A194" s="6"/>
      <c r="D194" s="5">
        <f>IF(OR($A194="",$B194="",$C194=""),"",COUNTIFS($B$2:$B$501,$B194,$C$2:$C$501,"&lt;&gt;",$A$2:$A$501,"&lt;"&amp;$A194)+COUNTIFS($B$1:$B193,$B194,$C$1:$C193,"&lt;&gt;",$A$1:$A193,$A194)+1)</f>
      </c>
      <c r="E194" s="5">
        <f>IF($D194="","",IF(OR($D194=1,AND(Settings!$B$4="Yes",$D194&lt;=Settings!$B$2)),IF(COUNTIFS(Players!$A$2:$A$101,$B194,Players!$B$2:$B$101,"&lt;&gt;")=0,"Add a starting quota",ROUND(SUMIFS(Players!$B$2:$B$101,Players!$A$2:$A$101,$B194),Settings!$B$3)),ROUND(SUMIFS($C$2:$C$501,$B$2:$B$501,$B194,$D$2:$D$501,"&gt;="&amp;($D194-Settings!$B$2),$D$2:$D$501,"&lt;"&amp;$D194)/COUNTIFS($B$2:$B$501,$B194,$D$2:$D$501,"&gt;="&amp;($D194-Settings!$B$2),$D$2:$D$501,"&lt;"&amp;$D194),Settings!$B$3)))</f>
      </c>
      <c r="F194" s="5">
        <f>IF(ISNUMBER($E194),ROUND($C194-$E194,2),"")</f>
      </c>
      <c r="G194" s="5">
        <f>IF(ISNUMBER($F194),COUNTIFS($A$2:$A$501,$A194,$F$2:$F$501,"&gt;"&amp;$F194)+1,"")</f>
      </c>
    </row>
    <row r="195">
      <c r="A195" s="6"/>
      <c r="D195" s="5">
        <f>IF(OR($A195="",$B195="",$C195=""),"",COUNTIFS($B$2:$B$501,$B195,$C$2:$C$501,"&lt;&gt;",$A$2:$A$501,"&lt;"&amp;$A195)+COUNTIFS($B$1:$B194,$B195,$C$1:$C194,"&lt;&gt;",$A$1:$A194,$A195)+1)</f>
      </c>
      <c r="E195" s="5">
        <f>IF($D195="","",IF(OR($D195=1,AND(Settings!$B$4="Yes",$D195&lt;=Settings!$B$2)),IF(COUNTIFS(Players!$A$2:$A$101,$B195,Players!$B$2:$B$101,"&lt;&gt;")=0,"Add a starting quota",ROUND(SUMIFS(Players!$B$2:$B$101,Players!$A$2:$A$101,$B195),Settings!$B$3)),ROUND(SUMIFS($C$2:$C$501,$B$2:$B$501,$B195,$D$2:$D$501,"&gt;="&amp;($D195-Settings!$B$2),$D$2:$D$501,"&lt;"&amp;$D195)/COUNTIFS($B$2:$B$501,$B195,$D$2:$D$501,"&gt;="&amp;($D195-Settings!$B$2),$D$2:$D$501,"&lt;"&amp;$D195),Settings!$B$3)))</f>
      </c>
      <c r="F195" s="5">
        <f>IF(ISNUMBER($E195),ROUND($C195-$E195,2),"")</f>
      </c>
      <c r="G195" s="5">
        <f>IF(ISNUMBER($F195),COUNTIFS($A$2:$A$501,$A195,$F$2:$F$501,"&gt;"&amp;$F195)+1,"")</f>
      </c>
    </row>
    <row r="196">
      <c r="A196" s="6"/>
      <c r="D196" s="5">
        <f>IF(OR($A196="",$B196="",$C196=""),"",COUNTIFS($B$2:$B$501,$B196,$C$2:$C$501,"&lt;&gt;",$A$2:$A$501,"&lt;"&amp;$A196)+COUNTIFS($B$1:$B195,$B196,$C$1:$C195,"&lt;&gt;",$A$1:$A195,$A196)+1)</f>
      </c>
      <c r="E196" s="5">
        <f>IF($D196="","",IF(OR($D196=1,AND(Settings!$B$4="Yes",$D196&lt;=Settings!$B$2)),IF(COUNTIFS(Players!$A$2:$A$101,$B196,Players!$B$2:$B$101,"&lt;&gt;")=0,"Add a starting quota",ROUND(SUMIFS(Players!$B$2:$B$101,Players!$A$2:$A$101,$B196),Settings!$B$3)),ROUND(SUMIFS($C$2:$C$501,$B$2:$B$501,$B196,$D$2:$D$501,"&gt;="&amp;($D196-Settings!$B$2),$D$2:$D$501,"&lt;"&amp;$D196)/COUNTIFS($B$2:$B$501,$B196,$D$2:$D$501,"&gt;="&amp;($D196-Settings!$B$2),$D$2:$D$501,"&lt;"&amp;$D196),Settings!$B$3)))</f>
      </c>
      <c r="F196" s="5">
        <f>IF(ISNUMBER($E196),ROUND($C196-$E196,2),"")</f>
      </c>
      <c r="G196" s="5">
        <f>IF(ISNUMBER($F196),COUNTIFS($A$2:$A$501,$A196,$F$2:$F$501,"&gt;"&amp;$F196)+1,"")</f>
      </c>
    </row>
    <row r="197">
      <c r="A197" s="6"/>
      <c r="D197" s="5">
        <f>IF(OR($A197="",$B197="",$C197=""),"",COUNTIFS($B$2:$B$501,$B197,$C$2:$C$501,"&lt;&gt;",$A$2:$A$501,"&lt;"&amp;$A197)+COUNTIFS($B$1:$B196,$B197,$C$1:$C196,"&lt;&gt;",$A$1:$A196,$A197)+1)</f>
      </c>
      <c r="E197" s="5">
        <f>IF($D197="","",IF(OR($D197=1,AND(Settings!$B$4="Yes",$D197&lt;=Settings!$B$2)),IF(COUNTIFS(Players!$A$2:$A$101,$B197,Players!$B$2:$B$101,"&lt;&gt;")=0,"Add a starting quota",ROUND(SUMIFS(Players!$B$2:$B$101,Players!$A$2:$A$101,$B197),Settings!$B$3)),ROUND(SUMIFS($C$2:$C$501,$B$2:$B$501,$B197,$D$2:$D$501,"&gt;="&amp;($D197-Settings!$B$2),$D$2:$D$501,"&lt;"&amp;$D197)/COUNTIFS($B$2:$B$501,$B197,$D$2:$D$501,"&gt;="&amp;($D197-Settings!$B$2),$D$2:$D$501,"&lt;"&amp;$D197),Settings!$B$3)))</f>
      </c>
      <c r="F197" s="5">
        <f>IF(ISNUMBER($E197),ROUND($C197-$E197,2),"")</f>
      </c>
      <c r="G197" s="5">
        <f>IF(ISNUMBER($F197),COUNTIFS($A$2:$A$501,$A197,$F$2:$F$501,"&gt;"&amp;$F197)+1,"")</f>
      </c>
    </row>
    <row r="198">
      <c r="A198" s="6"/>
      <c r="D198" s="5">
        <f>IF(OR($A198="",$B198="",$C198=""),"",COUNTIFS($B$2:$B$501,$B198,$C$2:$C$501,"&lt;&gt;",$A$2:$A$501,"&lt;"&amp;$A198)+COUNTIFS($B$1:$B197,$B198,$C$1:$C197,"&lt;&gt;",$A$1:$A197,$A198)+1)</f>
      </c>
      <c r="E198" s="5">
        <f>IF($D198="","",IF(OR($D198=1,AND(Settings!$B$4="Yes",$D198&lt;=Settings!$B$2)),IF(COUNTIFS(Players!$A$2:$A$101,$B198,Players!$B$2:$B$101,"&lt;&gt;")=0,"Add a starting quota",ROUND(SUMIFS(Players!$B$2:$B$101,Players!$A$2:$A$101,$B198),Settings!$B$3)),ROUND(SUMIFS($C$2:$C$501,$B$2:$B$501,$B198,$D$2:$D$501,"&gt;="&amp;($D198-Settings!$B$2),$D$2:$D$501,"&lt;"&amp;$D198)/COUNTIFS($B$2:$B$501,$B198,$D$2:$D$501,"&gt;="&amp;($D198-Settings!$B$2),$D$2:$D$501,"&lt;"&amp;$D198),Settings!$B$3)))</f>
      </c>
      <c r="F198" s="5">
        <f>IF(ISNUMBER($E198),ROUND($C198-$E198,2),"")</f>
      </c>
      <c r="G198" s="5">
        <f>IF(ISNUMBER($F198),COUNTIFS($A$2:$A$501,$A198,$F$2:$F$501,"&gt;"&amp;$F198)+1,"")</f>
      </c>
    </row>
    <row r="199">
      <c r="A199" s="6"/>
      <c r="D199" s="5">
        <f>IF(OR($A199="",$B199="",$C199=""),"",COUNTIFS($B$2:$B$501,$B199,$C$2:$C$501,"&lt;&gt;",$A$2:$A$501,"&lt;"&amp;$A199)+COUNTIFS($B$1:$B198,$B199,$C$1:$C198,"&lt;&gt;",$A$1:$A198,$A199)+1)</f>
      </c>
      <c r="E199" s="5">
        <f>IF($D199="","",IF(OR($D199=1,AND(Settings!$B$4="Yes",$D199&lt;=Settings!$B$2)),IF(COUNTIFS(Players!$A$2:$A$101,$B199,Players!$B$2:$B$101,"&lt;&gt;")=0,"Add a starting quota",ROUND(SUMIFS(Players!$B$2:$B$101,Players!$A$2:$A$101,$B199),Settings!$B$3)),ROUND(SUMIFS($C$2:$C$501,$B$2:$B$501,$B199,$D$2:$D$501,"&gt;="&amp;($D199-Settings!$B$2),$D$2:$D$501,"&lt;"&amp;$D199)/COUNTIFS($B$2:$B$501,$B199,$D$2:$D$501,"&gt;="&amp;($D199-Settings!$B$2),$D$2:$D$501,"&lt;"&amp;$D199),Settings!$B$3)))</f>
      </c>
      <c r="F199" s="5">
        <f>IF(ISNUMBER($E199),ROUND($C199-$E199,2),"")</f>
      </c>
      <c r="G199" s="5">
        <f>IF(ISNUMBER($F199),COUNTIFS($A$2:$A$501,$A199,$F$2:$F$501,"&gt;"&amp;$F199)+1,"")</f>
      </c>
    </row>
    <row r="200">
      <c r="A200" s="6"/>
      <c r="D200" s="5">
        <f>IF(OR($A200="",$B200="",$C200=""),"",COUNTIFS($B$2:$B$501,$B200,$C$2:$C$501,"&lt;&gt;",$A$2:$A$501,"&lt;"&amp;$A200)+COUNTIFS($B$1:$B199,$B200,$C$1:$C199,"&lt;&gt;",$A$1:$A199,$A200)+1)</f>
      </c>
      <c r="E200" s="5">
        <f>IF($D200="","",IF(OR($D200=1,AND(Settings!$B$4="Yes",$D200&lt;=Settings!$B$2)),IF(COUNTIFS(Players!$A$2:$A$101,$B200,Players!$B$2:$B$101,"&lt;&gt;")=0,"Add a starting quota",ROUND(SUMIFS(Players!$B$2:$B$101,Players!$A$2:$A$101,$B200),Settings!$B$3)),ROUND(SUMIFS($C$2:$C$501,$B$2:$B$501,$B200,$D$2:$D$501,"&gt;="&amp;($D200-Settings!$B$2),$D$2:$D$501,"&lt;"&amp;$D200)/COUNTIFS($B$2:$B$501,$B200,$D$2:$D$501,"&gt;="&amp;($D200-Settings!$B$2),$D$2:$D$501,"&lt;"&amp;$D200),Settings!$B$3)))</f>
      </c>
      <c r="F200" s="5">
        <f>IF(ISNUMBER($E200),ROUND($C200-$E200,2),"")</f>
      </c>
      <c r="G200" s="5">
        <f>IF(ISNUMBER($F200),COUNTIFS($A$2:$A$501,$A200,$F$2:$F$501,"&gt;"&amp;$F200)+1,"")</f>
      </c>
    </row>
    <row r="201">
      <c r="A201" s="6"/>
      <c r="D201" s="5">
        <f>IF(OR($A201="",$B201="",$C201=""),"",COUNTIFS($B$2:$B$501,$B201,$C$2:$C$501,"&lt;&gt;",$A$2:$A$501,"&lt;"&amp;$A201)+COUNTIFS($B$1:$B200,$B201,$C$1:$C200,"&lt;&gt;",$A$1:$A200,$A201)+1)</f>
      </c>
      <c r="E201" s="5">
        <f>IF($D201="","",IF(OR($D201=1,AND(Settings!$B$4="Yes",$D201&lt;=Settings!$B$2)),IF(COUNTIFS(Players!$A$2:$A$101,$B201,Players!$B$2:$B$101,"&lt;&gt;")=0,"Add a starting quota",ROUND(SUMIFS(Players!$B$2:$B$101,Players!$A$2:$A$101,$B201),Settings!$B$3)),ROUND(SUMIFS($C$2:$C$501,$B$2:$B$501,$B201,$D$2:$D$501,"&gt;="&amp;($D201-Settings!$B$2),$D$2:$D$501,"&lt;"&amp;$D201)/COUNTIFS($B$2:$B$501,$B201,$D$2:$D$501,"&gt;="&amp;($D201-Settings!$B$2),$D$2:$D$501,"&lt;"&amp;$D201),Settings!$B$3)))</f>
      </c>
      <c r="F201" s="5">
        <f>IF(ISNUMBER($E201),ROUND($C201-$E201,2),"")</f>
      </c>
      <c r="G201" s="5">
        <f>IF(ISNUMBER($F201),COUNTIFS($A$2:$A$501,$A201,$F$2:$F$501,"&gt;"&amp;$F201)+1,"")</f>
      </c>
    </row>
    <row r="202">
      <c r="A202" s="6"/>
      <c r="D202" s="5">
        <f>IF(OR($A202="",$B202="",$C202=""),"",COUNTIFS($B$2:$B$501,$B202,$C$2:$C$501,"&lt;&gt;",$A$2:$A$501,"&lt;"&amp;$A202)+COUNTIFS($B$1:$B201,$B202,$C$1:$C201,"&lt;&gt;",$A$1:$A201,$A202)+1)</f>
      </c>
      <c r="E202" s="5">
        <f>IF($D202="","",IF(OR($D202=1,AND(Settings!$B$4="Yes",$D202&lt;=Settings!$B$2)),IF(COUNTIFS(Players!$A$2:$A$101,$B202,Players!$B$2:$B$101,"&lt;&gt;")=0,"Add a starting quota",ROUND(SUMIFS(Players!$B$2:$B$101,Players!$A$2:$A$101,$B202),Settings!$B$3)),ROUND(SUMIFS($C$2:$C$501,$B$2:$B$501,$B202,$D$2:$D$501,"&gt;="&amp;($D202-Settings!$B$2),$D$2:$D$501,"&lt;"&amp;$D202)/COUNTIFS($B$2:$B$501,$B202,$D$2:$D$501,"&gt;="&amp;($D202-Settings!$B$2),$D$2:$D$501,"&lt;"&amp;$D202),Settings!$B$3)))</f>
      </c>
      <c r="F202" s="5">
        <f>IF(ISNUMBER($E202),ROUND($C202-$E202,2),"")</f>
      </c>
      <c r="G202" s="5">
        <f>IF(ISNUMBER($F202),COUNTIFS($A$2:$A$501,$A202,$F$2:$F$501,"&gt;"&amp;$F202)+1,"")</f>
      </c>
    </row>
    <row r="203">
      <c r="A203" s="6"/>
      <c r="D203" s="5">
        <f>IF(OR($A203="",$B203="",$C203=""),"",COUNTIFS($B$2:$B$501,$B203,$C$2:$C$501,"&lt;&gt;",$A$2:$A$501,"&lt;"&amp;$A203)+COUNTIFS($B$1:$B202,$B203,$C$1:$C202,"&lt;&gt;",$A$1:$A202,$A203)+1)</f>
      </c>
      <c r="E203" s="5">
        <f>IF($D203="","",IF(OR($D203=1,AND(Settings!$B$4="Yes",$D203&lt;=Settings!$B$2)),IF(COUNTIFS(Players!$A$2:$A$101,$B203,Players!$B$2:$B$101,"&lt;&gt;")=0,"Add a starting quota",ROUND(SUMIFS(Players!$B$2:$B$101,Players!$A$2:$A$101,$B203),Settings!$B$3)),ROUND(SUMIFS($C$2:$C$501,$B$2:$B$501,$B203,$D$2:$D$501,"&gt;="&amp;($D203-Settings!$B$2),$D$2:$D$501,"&lt;"&amp;$D203)/COUNTIFS($B$2:$B$501,$B203,$D$2:$D$501,"&gt;="&amp;($D203-Settings!$B$2),$D$2:$D$501,"&lt;"&amp;$D203),Settings!$B$3)))</f>
      </c>
      <c r="F203" s="5">
        <f>IF(ISNUMBER($E203),ROUND($C203-$E203,2),"")</f>
      </c>
      <c r="G203" s="5">
        <f>IF(ISNUMBER($F203),COUNTIFS($A$2:$A$501,$A203,$F$2:$F$501,"&gt;"&amp;$F203)+1,"")</f>
      </c>
    </row>
    <row r="204">
      <c r="A204" s="6"/>
      <c r="D204" s="5">
        <f>IF(OR($A204="",$B204="",$C204=""),"",COUNTIFS($B$2:$B$501,$B204,$C$2:$C$501,"&lt;&gt;",$A$2:$A$501,"&lt;"&amp;$A204)+COUNTIFS($B$1:$B203,$B204,$C$1:$C203,"&lt;&gt;",$A$1:$A203,$A204)+1)</f>
      </c>
      <c r="E204" s="5">
        <f>IF($D204="","",IF(OR($D204=1,AND(Settings!$B$4="Yes",$D204&lt;=Settings!$B$2)),IF(COUNTIFS(Players!$A$2:$A$101,$B204,Players!$B$2:$B$101,"&lt;&gt;")=0,"Add a starting quota",ROUND(SUMIFS(Players!$B$2:$B$101,Players!$A$2:$A$101,$B204),Settings!$B$3)),ROUND(SUMIFS($C$2:$C$501,$B$2:$B$501,$B204,$D$2:$D$501,"&gt;="&amp;($D204-Settings!$B$2),$D$2:$D$501,"&lt;"&amp;$D204)/COUNTIFS($B$2:$B$501,$B204,$D$2:$D$501,"&gt;="&amp;($D204-Settings!$B$2),$D$2:$D$501,"&lt;"&amp;$D204),Settings!$B$3)))</f>
      </c>
      <c r="F204" s="5">
        <f>IF(ISNUMBER($E204),ROUND($C204-$E204,2),"")</f>
      </c>
      <c r="G204" s="5">
        <f>IF(ISNUMBER($F204),COUNTIFS($A$2:$A$501,$A204,$F$2:$F$501,"&gt;"&amp;$F204)+1,"")</f>
      </c>
    </row>
    <row r="205">
      <c r="A205" s="6"/>
      <c r="D205" s="5">
        <f>IF(OR($A205="",$B205="",$C205=""),"",COUNTIFS($B$2:$B$501,$B205,$C$2:$C$501,"&lt;&gt;",$A$2:$A$501,"&lt;"&amp;$A205)+COUNTIFS($B$1:$B204,$B205,$C$1:$C204,"&lt;&gt;",$A$1:$A204,$A205)+1)</f>
      </c>
      <c r="E205" s="5">
        <f>IF($D205="","",IF(OR($D205=1,AND(Settings!$B$4="Yes",$D205&lt;=Settings!$B$2)),IF(COUNTIFS(Players!$A$2:$A$101,$B205,Players!$B$2:$B$101,"&lt;&gt;")=0,"Add a starting quota",ROUND(SUMIFS(Players!$B$2:$B$101,Players!$A$2:$A$101,$B205),Settings!$B$3)),ROUND(SUMIFS($C$2:$C$501,$B$2:$B$501,$B205,$D$2:$D$501,"&gt;="&amp;($D205-Settings!$B$2),$D$2:$D$501,"&lt;"&amp;$D205)/COUNTIFS($B$2:$B$501,$B205,$D$2:$D$501,"&gt;="&amp;($D205-Settings!$B$2),$D$2:$D$501,"&lt;"&amp;$D205),Settings!$B$3)))</f>
      </c>
      <c r="F205" s="5">
        <f>IF(ISNUMBER($E205),ROUND($C205-$E205,2),"")</f>
      </c>
      <c r="G205" s="5">
        <f>IF(ISNUMBER($F205),COUNTIFS($A$2:$A$501,$A205,$F$2:$F$501,"&gt;"&amp;$F205)+1,"")</f>
      </c>
    </row>
    <row r="206">
      <c r="A206" s="6"/>
      <c r="D206" s="5">
        <f>IF(OR($A206="",$B206="",$C206=""),"",COUNTIFS($B$2:$B$501,$B206,$C$2:$C$501,"&lt;&gt;",$A$2:$A$501,"&lt;"&amp;$A206)+COUNTIFS($B$1:$B205,$B206,$C$1:$C205,"&lt;&gt;",$A$1:$A205,$A206)+1)</f>
      </c>
      <c r="E206" s="5">
        <f>IF($D206="","",IF(OR($D206=1,AND(Settings!$B$4="Yes",$D206&lt;=Settings!$B$2)),IF(COUNTIFS(Players!$A$2:$A$101,$B206,Players!$B$2:$B$101,"&lt;&gt;")=0,"Add a starting quota",ROUND(SUMIFS(Players!$B$2:$B$101,Players!$A$2:$A$101,$B206),Settings!$B$3)),ROUND(SUMIFS($C$2:$C$501,$B$2:$B$501,$B206,$D$2:$D$501,"&gt;="&amp;($D206-Settings!$B$2),$D$2:$D$501,"&lt;"&amp;$D206)/COUNTIFS($B$2:$B$501,$B206,$D$2:$D$501,"&gt;="&amp;($D206-Settings!$B$2),$D$2:$D$501,"&lt;"&amp;$D206),Settings!$B$3)))</f>
      </c>
      <c r="F206" s="5">
        <f>IF(ISNUMBER($E206),ROUND($C206-$E206,2),"")</f>
      </c>
      <c r="G206" s="5">
        <f>IF(ISNUMBER($F206),COUNTIFS($A$2:$A$501,$A206,$F$2:$F$501,"&gt;"&amp;$F206)+1,"")</f>
      </c>
    </row>
    <row r="207">
      <c r="A207" s="6"/>
      <c r="D207" s="5">
        <f>IF(OR($A207="",$B207="",$C207=""),"",COUNTIFS($B$2:$B$501,$B207,$C$2:$C$501,"&lt;&gt;",$A$2:$A$501,"&lt;"&amp;$A207)+COUNTIFS($B$1:$B206,$B207,$C$1:$C206,"&lt;&gt;",$A$1:$A206,$A207)+1)</f>
      </c>
      <c r="E207" s="5">
        <f>IF($D207="","",IF(OR($D207=1,AND(Settings!$B$4="Yes",$D207&lt;=Settings!$B$2)),IF(COUNTIFS(Players!$A$2:$A$101,$B207,Players!$B$2:$B$101,"&lt;&gt;")=0,"Add a starting quota",ROUND(SUMIFS(Players!$B$2:$B$101,Players!$A$2:$A$101,$B207),Settings!$B$3)),ROUND(SUMIFS($C$2:$C$501,$B$2:$B$501,$B207,$D$2:$D$501,"&gt;="&amp;($D207-Settings!$B$2),$D$2:$D$501,"&lt;"&amp;$D207)/COUNTIFS($B$2:$B$501,$B207,$D$2:$D$501,"&gt;="&amp;($D207-Settings!$B$2),$D$2:$D$501,"&lt;"&amp;$D207),Settings!$B$3)))</f>
      </c>
      <c r="F207" s="5">
        <f>IF(ISNUMBER($E207),ROUND($C207-$E207,2),"")</f>
      </c>
      <c r="G207" s="5">
        <f>IF(ISNUMBER($F207),COUNTIFS($A$2:$A$501,$A207,$F$2:$F$501,"&gt;"&amp;$F207)+1,"")</f>
      </c>
    </row>
    <row r="208">
      <c r="A208" s="6"/>
      <c r="D208" s="5">
        <f>IF(OR($A208="",$B208="",$C208=""),"",COUNTIFS($B$2:$B$501,$B208,$C$2:$C$501,"&lt;&gt;",$A$2:$A$501,"&lt;"&amp;$A208)+COUNTIFS($B$1:$B207,$B208,$C$1:$C207,"&lt;&gt;",$A$1:$A207,$A208)+1)</f>
      </c>
      <c r="E208" s="5">
        <f>IF($D208="","",IF(OR($D208=1,AND(Settings!$B$4="Yes",$D208&lt;=Settings!$B$2)),IF(COUNTIFS(Players!$A$2:$A$101,$B208,Players!$B$2:$B$101,"&lt;&gt;")=0,"Add a starting quota",ROUND(SUMIFS(Players!$B$2:$B$101,Players!$A$2:$A$101,$B208),Settings!$B$3)),ROUND(SUMIFS($C$2:$C$501,$B$2:$B$501,$B208,$D$2:$D$501,"&gt;="&amp;($D208-Settings!$B$2),$D$2:$D$501,"&lt;"&amp;$D208)/COUNTIFS($B$2:$B$501,$B208,$D$2:$D$501,"&gt;="&amp;($D208-Settings!$B$2),$D$2:$D$501,"&lt;"&amp;$D208),Settings!$B$3)))</f>
      </c>
      <c r="F208" s="5">
        <f>IF(ISNUMBER($E208),ROUND($C208-$E208,2),"")</f>
      </c>
      <c r="G208" s="5">
        <f>IF(ISNUMBER($F208),COUNTIFS($A$2:$A$501,$A208,$F$2:$F$501,"&gt;"&amp;$F208)+1,"")</f>
      </c>
    </row>
    <row r="209">
      <c r="A209" s="6"/>
      <c r="D209" s="5">
        <f>IF(OR($A209="",$B209="",$C209=""),"",COUNTIFS($B$2:$B$501,$B209,$C$2:$C$501,"&lt;&gt;",$A$2:$A$501,"&lt;"&amp;$A209)+COUNTIFS($B$1:$B208,$B209,$C$1:$C208,"&lt;&gt;",$A$1:$A208,$A209)+1)</f>
      </c>
      <c r="E209" s="5">
        <f>IF($D209="","",IF(OR($D209=1,AND(Settings!$B$4="Yes",$D209&lt;=Settings!$B$2)),IF(COUNTIFS(Players!$A$2:$A$101,$B209,Players!$B$2:$B$101,"&lt;&gt;")=0,"Add a starting quota",ROUND(SUMIFS(Players!$B$2:$B$101,Players!$A$2:$A$101,$B209),Settings!$B$3)),ROUND(SUMIFS($C$2:$C$501,$B$2:$B$501,$B209,$D$2:$D$501,"&gt;="&amp;($D209-Settings!$B$2),$D$2:$D$501,"&lt;"&amp;$D209)/COUNTIFS($B$2:$B$501,$B209,$D$2:$D$501,"&gt;="&amp;($D209-Settings!$B$2),$D$2:$D$501,"&lt;"&amp;$D209),Settings!$B$3)))</f>
      </c>
      <c r="F209" s="5">
        <f>IF(ISNUMBER($E209),ROUND($C209-$E209,2),"")</f>
      </c>
      <c r="G209" s="5">
        <f>IF(ISNUMBER($F209),COUNTIFS($A$2:$A$501,$A209,$F$2:$F$501,"&gt;"&amp;$F209)+1,"")</f>
      </c>
    </row>
    <row r="210">
      <c r="A210" s="6"/>
      <c r="D210" s="5">
        <f>IF(OR($A210="",$B210="",$C210=""),"",COUNTIFS($B$2:$B$501,$B210,$C$2:$C$501,"&lt;&gt;",$A$2:$A$501,"&lt;"&amp;$A210)+COUNTIFS($B$1:$B209,$B210,$C$1:$C209,"&lt;&gt;",$A$1:$A209,$A210)+1)</f>
      </c>
      <c r="E210" s="5">
        <f>IF($D210="","",IF(OR($D210=1,AND(Settings!$B$4="Yes",$D210&lt;=Settings!$B$2)),IF(COUNTIFS(Players!$A$2:$A$101,$B210,Players!$B$2:$B$101,"&lt;&gt;")=0,"Add a starting quota",ROUND(SUMIFS(Players!$B$2:$B$101,Players!$A$2:$A$101,$B210),Settings!$B$3)),ROUND(SUMIFS($C$2:$C$501,$B$2:$B$501,$B210,$D$2:$D$501,"&gt;="&amp;($D210-Settings!$B$2),$D$2:$D$501,"&lt;"&amp;$D210)/COUNTIFS($B$2:$B$501,$B210,$D$2:$D$501,"&gt;="&amp;($D210-Settings!$B$2),$D$2:$D$501,"&lt;"&amp;$D210),Settings!$B$3)))</f>
      </c>
      <c r="F210" s="5">
        <f>IF(ISNUMBER($E210),ROUND($C210-$E210,2),"")</f>
      </c>
      <c r="G210" s="5">
        <f>IF(ISNUMBER($F210),COUNTIFS($A$2:$A$501,$A210,$F$2:$F$501,"&gt;"&amp;$F210)+1,"")</f>
      </c>
    </row>
    <row r="211">
      <c r="A211" s="6"/>
      <c r="D211" s="5">
        <f>IF(OR($A211="",$B211="",$C211=""),"",COUNTIFS($B$2:$B$501,$B211,$C$2:$C$501,"&lt;&gt;",$A$2:$A$501,"&lt;"&amp;$A211)+COUNTIFS($B$1:$B210,$B211,$C$1:$C210,"&lt;&gt;",$A$1:$A210,$A211)+1)</f>
      </c>
      <c r="E211" s="5">
        <f>IF($D211="","",IF(OR($D211=1,AND(Settings!$B$4="Yes",$D211&lt;=Settings!$B$2)),IF(COUNTIFS(Players!$A$2:$A$101,$B211,Players!$B$2:$B$101,"&lt;&gt;")=0,"Add a starting quota",ROUND(SUMIFS(Players!$B$2:$B$101,Players!$A$2:$A$101,$B211),Settings!$B$3)),ROUND(SUMIFS($C$2:$C$501,$B$2:$B$501,$B211,$D$2:$D$501,"&gt;="&amp;($D211-Settings!$B$2),$D$2:$D$501,"&lt;"&amp;$D211)/COUNTIFS($B$2:$B$501,$B211,$D$2:$D$501,"&gt;="&amp;($D211-Settings!$B$2),$D$2:$D$501,"&lt;"&amp;$D211),Settings!$B$3)))</f>
      </c>
      <c r="F211" s="5">
        <f>IF(ISNUMBER($E211),ROUND($C211-$E211,2),"")</f>
      </c>
      <c r="G211" s="5">
        <f>IF(ISNUMBER($F211),COUNTIFS($A$2:$A$501,$A211,$F$2:$F$501,"&gt;"&amp;$F211)+1,"")</f>
      </c>
    </row>
    <row r="212">
      <c r="A212" s="6"/>
      <c r="D212" s="5">
        <f>IF(OR($A212="",$B212="",$C212=""),"",COUNTIFS($B$2:$B$501,$B212,$C$2:$C$501,"&lt;&gt;",$A$2:$A$501,"&lt;"&amp;$A212)+COUNTIFS($B$1:$B211,$B212,$C$1:$C211,"&lt;&gt;",$A$1:$A211,$A212)+1)</f>
      </c>
      <c r="E212" s="5">
        <f>IF($D212="","",IF(OR($D212=1,AND(Settings!$B$4="Yes",$D212&lt;=Settings!$B$2)),IF(COUNTIFS(Players!$A$2:$A$101,$B212,Players!$B$2:$B$101,"&lt;&gt;")=0,"Add a starting quota",ROUND(SUMIFS(Players!$B$2:$B$101,Players!$A$2:$A$101,$B212),Settings!$B$3)),ROUND(SUMIFS($C$2:$C$501,$B$2:$B$501,$B212,$D$2:$D$501,"&gt;="&amp;($D212-Settings!$B$2),$D$2:$D$501,"&lt;"&amp;$D212)/COUNTIFS($B$2:$B$501,$B212,$D$2:$D$501,"&gt;="&amp;($D212-Settings!$B$2),$D$2:$D$501,"&lt;"&amp;$D212),Settings!$B$3)))</f>
      </c>
      <c r="F212" s="5">
        <f>IF(ISNUMBER($E212),ROUND($C212-$E212,2),"")</f>
      </c>
      <c r="G212" s="5">
        <f>IF(ISNUMBER($F212),COUNTIFS($A$2:$A$501,$A212,$F$2:$F$501,"&gt;"&amp;$F212)+1,"")</f>
      </c>
    </row>
    <row r="213">
      <c r="A213" s="6"/>
      <c r="D213" s="5">
        <f>IF(OR($A213="",$B213="",$C213=""),"",COUNTIFS($B$2:$B$501,$B213,$C$2:$C$501,"&lt;&gt;",$A$2:$A$501,"&lt;"&amp;$A213)+COUNTIFS($B$1:$B212,$B213,$C$1:$C212,"&lt;&gt;",$A$1:$A212,$A213)+1)</f>
      </c>
      <c r="E213" s="5">
        <f>IF($D213="","",IF(OR($D213=1,AND(Settings!$B$4="Yes",$D213&lt;=Settings!$B$2)),IF(COUNTIFS(Players!$A$2:$A$101,$B213,Players!$B$2:$B$101,"&lt;&gt;")=0,"Add a starting quota",ROUND(SUMIFS(Players!$B$2:$B$101,Players!$A$2:$A$101,$B213),Settings!$B$3)),ROUND(SUMIFS($C$2:$C$501,$B$2:$B$501,$B213,$D$2:$D$501,"&gt;="&amp;($D213-Settings!$B$2),$D$2:$D$501,"&lt;"&amp;$D213)/COUNTIFS($B$2:$B$501,$B213,$D$2:$D$501,"&gt;="&amp;($D213-Settings!$B$2),$D$2:$D$501,"&lt;"&amp;$D213),Settings!$B$3)))</f>
      </c>
      <c r="F213" s="5">
        <f>IF(ISNUMBER($E213),ROUND($C213-$E213,2),"")</f>
      </c>
      <c r="G213" s="5">
        <f>IF(ISNUMBER($F213),COUNTIFS($A$2:$A$501,$A213,$F$2:$F$501,"&gt;"&amp;$F213)+1,"")</f>
      </c>
    </row>
    <row r="214">
      <c r="A214" s="6"/>
      <c r="D214" s="5">
        <f>IF(OR($A214="",$B214="",$C214=""),"",COUNTIFS($B$2:$B$501,$B214,$C$2:$C$501,"&lt;&gt;",$A$2:$A$501,"&lt;"&amp;$A214)+COUNTIFS($B$1:$B213,$B214,$C$1:$C213,"&lt;&gt;",$A$1:$A213,$A214)+1)</f>
      </c>
      <c r="E214" s="5">
        <f>IF($D214="","",IF(OR($D214=1,AND(Settings!$B$4="Yes",$D214&lt;=Settings!$B$2)),IF(COUNTIFS(Players!$A$2:$A$101,$B214,Players!$B$2:$B$101,"&lt;&gt;")=0,"Add a starting quota",ROUND(SUMIFS(Players!$B$2:$B$101,Players!$A$2:$A$101,$B214),Settings!$B$3)),ROUND(SUMIFS($C$2:$C$501,$B$2:$B$501,$B214,$D$2:$D$501,"&gt;="&amp;($D214-Settings!$B$2),$D$2:$D$501,"&lt;"&amp;$D214)/COUNTIFS($B$2:$B$501,$B214,$D$2:$D$501,"&gt;="&amp;($D214-Settings!$B$2),$D$2:$D$501,"&lt;"&amp;$D214),Settings!$B$3)))</f>
      </c>
      <c r="F214" s="5">
        <f>IF(ISNUMBER($E214),ROUND($C214-$E214,2),"")</f>
      </c>
      <c r="G214" s="5">
        <f>IF(ISNUMBER($F214),COUNTIFS($A$2:$A$501,$A214,$F$2:$F$501,"&gt;"&amp;$F214)+1,"")</f>
      </c>
    </row>
    <row r="215">
      <c r="A215" s="6"/>
      <c r="D215" s="5">
        <f>IF(OR($A215="",$B215="",$C215=""),"",COUNTIFS($B$2:$B$501,$B215,$C$2:$C$501,"&lt;&gt;",$A$2:$A$501,"&lt;"&amp;$A215)+COUNTIFS($B$1:$B214,$B215,$C$1:$C214,"&lt;&gt;",$A$1:$A214,$A215)+1)</f>
      </c>
      <c r="E215" s="5">
        <f>IF($D215="","",IF(OR($D215=1,AND(Settings!$B$4="Yes",$D215&lt;=Settings!$B$2)),IF(COUNTIFS(Players!$A$2:$A$101,$B215,Players!$B$2:$B$101,"&lt;&gt;")=0,"Add a starting quota",ROUND(SUMIFS(Players!$B$2:$B$101,Players!$A$2:$A$101,$B215),Settings!$B$3)),ROUND(SUMIFS($C$2:$C$501,$B$2:$B$501,$B215,$D$2:$D$501,"&gt;="&amp;($D215-Settings!$B$2),$D$2:$D$501,"&lt;"&amp;$D215)/COUNTIFS($B$2:$B$501,$B215,$D$2:$D$501,"&gt;="&amp;($D215-Settings!$B$2),$D$2:$D$501,"&lt;"&amp;$D215),Settings!$B$3)))</f>
      </c>
      <c r="F215" s="5">
        <f>IF(ISNUMBER($E215),ROUND($C215-$E215,2),"")</f>
      </c>
      <c r="G215" s="5">
        <f>IF(ISNUMBER($F215),COUNTIFS($A$2:$A$501,$A215,$F$2:$F$501,"&gt;"&amp;$F215)+1,"")</f>
      </c>
    </row>
    <row r="216">
      <c r="A216" s="6"/>
      <c r="D216" s="5">
        <f>IF(OR($A216="",$B216="",$C216=""),"",COUNTIFS($B$2:$B$501,$B216,$C$2:$C$501,"&lt;&gt;",$A$2:$A$501,"&lt;"&amp;$A216)+COUNTIFS($B$1:$B215,$B216,$C$1:$C215,"&lt;&gt;",$A$1:$A215,$A216)+1)</f>
      </c>
      <c r="E216" s="5">
        <f>IF($D216="","",IF(OR($D216=1,AND(Settings!$B$4="Yes",$D216&lt;=Settings!$B$2)),IF(COUNTIFS(Players!$A$2:$A$101,$B216,Players!$B$2:$B$101,"&lt;&gt;")=0,"Add a starting quota",ROUND(SUMIFS(Players!$B$2:$B$101,Players!$A$2:$A$101,$B216),Settings!$B$3)),ROUND(SUMIFS($C$2:$C$501,$B$2:$B$501,$B216,$D$2:$D$501,"&gt;="&amp;($D216-Settings!$B$2),$D$2:$D$501,"&lt;"&amp;$D216)/COUNTIFS($B$2:$B$501,$B216,$D$2:$D$501,"&gt;="&amp;($D216-Settings!$B$2),$D$2:$D$501,"&lt;"&amp;$D216),Settings!$B$3)))</f>
      </c>
      <c r="F216" s="5">
        <f>IF(ISNUMBER($E216),ROUND($C216-$E216,2),"")</f>
      </c>
      <c r="G216" s="5">
        <f>IF(ISNUMBER($F216),COUNTIFS($A$2:$A$501,$A216,$F$2:$F$501,"&gt;"&amp;$F216)+1,"")</f>
      </c>
    </row>
    <row r="217">
      <c r="A217" s="6"/>
      <c r="D217" s="5">
        <f>IF(OR($A217="",$B217="",$C217=""),"",COUNTIFS($B$2:$B$501,$B217,$C$2:$C$501,"&lt;&gt;",$A$2:$A$501,"&lt;"&amp;$A217)+COUNTIFS($B$1:$B216,$B217,$C$1:$C216,"&lt;&gt;",$A$1:$A216,$A217)+1)</f>
      </c>
      <c r="E217" s="5">
        <f>IF($D217="","",IF(OR($D217=1,AND(Settings!$B$4="Yes",$D217&lt;=Settings!$B$2)),IF(COUNTIFS(Players!$A$2:$A$101,$B217,Players!$B$2:$B$101,"&lt;&gt;")=0,"Add a starting quota",ROUND(SUMIFS(Players!$B$2:$B$101,Players!$A$2:$A$101,$B217),Settings!$B$3)),ROUND(SUMIFS($C$2:$C$501,$B$2:$B$501,$B217,$D$2:$D$501,"&gt;="&amp;($D217-Settings!$B$2),$D$2:$D$501,"&lt;"&amp;$D217)/COUNTIFS($B$2:$B$501,$B217,$D$2:$D$501,"&gt;="&amp;($D217-Settings!$B$2),$D$2:$D$501,"&lt;"&amp;$D217),Settings!$B$3)))</f>
      </c>
      <c r="F217" s="5">
        <f>IF(ISNUMBER($E217),ROUND($C217-$E217,2),"")</f>
      </c>
      <c r="G217" s="5">
        <f>IF(ISNUMBER($F217),COUNTIFS($A$2:$A$501,$A217,$F$2:$F$501,"&gt;"&amp;$F217)+1,"")</f>
      </c>
    </row>
    <row r="218">
      <c r="A218" s="6"/>
      <c r="D218" s="5">
        <f>IF(OR($A218="",$B218="",$C218=""),"",COUNTIFS($B$2:$B$501,$B218,$C$2:$C$501,"&lt;&gt;",$A$2:$A$501,"&lt;"&amp;$A218)+COUNTIFS($B$1:$B217,$B218,$C$1:$C217,"&lt;&gt;",$A$1:$A217,$A218)+1)</f>
      </c>
      <c r="E218" s="5">
        <f>IF($D218="","",IF(OR($D218=1,AND(Settings!$B$4="Yes",$D218&lt;=Settings!$B$2)),IF(COUNTIFS(Players!$A$2:$A$101,$B218,Players!$B$2:$B$101,"&lt;&gt;")=0,"Add a starting quota",ROUND(SUMIFS(Players!$B$2:$B$101,Players!$A$2:$A$101,$B218),Settings!$B$3)),ROUND(SUMIFS($C$2:$C$501,$B$2:$B$501,$B218,$D$2:$D$501,"&gt;="&amp;($D218-Settings!$B$2),$D$2:$D$501,"&lt;"&amp;$D218)/COUNTIFS($B$2:$B$501,$B218,$D$2:$D$501,"&gt;="&amp;($D218-Settings!$B$2),$D$2:$D$501,"&lt;"&amp;$D218),Settings!$B$3)))</f>
      </c>
      <c r="F218" s="5">
        <f>IF(ISNUMBER($E218),ROUND($C218-$E218,2),"")</f>
      </c>
      <c r="G218" s="5">
        <f>IF(ISNUMBER($F218),COUNTIFS($A$2:$A$501,$A218,$F$2:$F$501,"&gt;"&amp;$F218)+1,"")</f>
      </c>
    </row>
    <row r="219">
      <c r="A219" s="6"/>
      <c r="D219" s="5">
        <f>IF(OR($A219="",$B219="",$C219=""),"",COUNTIFS($B$2:$B$501,$B219,$C$2:$C$501,"&lt;&gt;",$A$2:$A$501,"&lt;"&amp;$A219)+COUNTIFS($B$1:$B218,$B219,$C$1:$C218,"&lt;&gt;",$A$1:$A218,$A219)+1)</f>
      </c>
      <c r="E219" s="5">
        <f>IF($D219="","",IF(OR($D219=1,AND(Settings!$B$4="Yes",$D219&lt;=Settings!$B$2)),IF(COUNTIFS(Players!$A$2:$A$101,$B219,Players!$B$2:$B$101,"&lt;&gt;")=0,"Add a starting quota",ROUND(SUMIFS(Players!$B$2:$B$101,Players!$A$2:$A$101,$B219),Settings!$B$3)),ROUND(SUMIFS($C$2:$C$501,$B$2:$B$501,$B219,$D$2:$D$501,"&gt;="&amp;($D219-Settings!$B$2),$D$2:$D$501,"&lt;"&amp;$D219)/COUNTIFS($B$2:$B$501,$B219,$D$2:$D$501,"&gt;="&amp;($D219-Settings!$B$2),$D$2:$D$501,"&lt;"&amp;$D219),Settings!$B$3)))</f>
      </c>
      <c r="F219" s="5">
        <f>IF(ISNUMBER($E219),ROUND($C219-$E219,2),"")</f>
      </c>
      <c r="G219" s="5">
        <f>IF(ISNUMBER($F219),COUNTIFS($A$2:$A$501,$A219,$F$2:$F$501,"&gt;"&amp;$F219)+1,"")</f>
      </c>
    </row>
    <row r="220">
      <c r="A220" s="6"/>
      <c r="D220" s="5">
        <f>IF(OR($A220="",$B220="",$C220=""),"",COUNTIFS($B$2:$B$501,$B220,$C$2:$C$501,"&lt;&gt;",$A$2:$A$501,"&lt;"&amp;$A220)+COUNTIFS($B$1:$B219,$B220,$C$1:$C219,"&lt;&gt;",$A$1:$A219,$A220)+1)</f>
      </c>
      <c r="E220" s="5">
        <f>IF($D220="","",IF(OR($D220=1,AND(Settings!$B$4="Yes",$D220&lt;=Settings!$B$2)),IF(COUNTIFS(Players!$A$2:$A$101,$B220,Players!$B$2:$B$101,"&lt;&gt;")=0,"Add a starting quota",ROUND(SUMIFS(Players!$B$2:$B$101,Players!$A$2:$A$101,$B220),Settings!$B$3)),ROUND(SUMIFS($C$2:$C$501,$B$2:$B$501,$B220,$D$2:$D$501,"&gt;="&amp;($D220-Settings!$B$2),$D$2:$D$501,"&lt;"&amp;$D220)/COUNTIFS($B$2:$B$501,$B220,$D$2:$D$501,"&gt;="&amp;($D220-Settings!$B$2),$D$2:$D$501,"&lt;"&amp;$D220),Settings!$B$3)))</f>
      </c>
      <c r="F220" s="5">
        <f>IF(ISNUMBER($E220),ROUND($C220-$E220,2),"")</f>
      </c>
      <c r="G220" s="5">
        <f>IF(ISNUMBER($F220),COUNTIFS($A$2:$A$501,$A220,$F$2:$F$501,"&gt;"&amp;$F220)+1,"")</f>
      </c>
    </row>
    <row r="221">
      <c r="A221" s="6"/>
      <c r="D221" s="5">
        <f>IF(OR($A221="",$B221="",$C221=""),"",COUNTIFS($B$2:$B$501,$B221,$C$2:$C$501,"&lt;&gt;",$A$2:$A$501,"&lt;"&amp;$A221)+COUNTIFS($B$1:$B220,$B221,$C$1:$C220,"&lt;&gt;",$A$1:$A220,$A221)+1)</f>
      </c>
      <c r="E221" s="5">
        <f>IF($D221="","",IF(OR($D221=1,AND(Settings!$B$4="Yes",$D221&lt;=Settings!$B$2)),IF(COUNTIFS(Players!$A$2:$A$101,$B221,Players!$B$2:$B$101,"&lt;&gt;")=0,"Add a starting quota",ROUND(SUMIFS(Players!$B$2:$B$101,Players!$A$2:$A$101,$B221),Settings!$B$3)),ROUND(SUMIFS($C$2:$C$501,$B$2:$B$501,$B221,$D$2:$D$501,"&gt;="&amp;($D221-Settings!$B$2),$D$2:$D$501,"&lt;"&amp;$D221)/COUNTIFS($B$2:$B$501,$B221,$D$2:$D$501,"&gt;="&amp;($D221-Settings!$B$2),$D$2:$D$501,"&lt;"&amp;$D221),Settings!$B$3)))</f>
      </c>
      <c r="F221" s="5">
        <f>IF(ISNUMBER($E221),ROUND($C221-$E221,2),"")</f>
      </c>
      <c r="G221" s="5">
        <f>IF(ISNUMBER($F221),COUNTIFS($A$2:$A$501,$A221,$F$2:$F$501,"&gt;"&amp;$F221)+1,"")</f>
      </c>
    </row>
    <row r="222">
      <c r="A222" s="6"/>
      <c r="D222" s="5">
        <f>IF(OR($A222="",$B222="",$C222=""),"",COUNTIFS($B$2:$B$501,$B222,$C$2:$C$501,"&lt;&gt;",$A$2:$A$501,"&lt;"&amp;$A222)+COUNTIFS($B$1:$B221,$B222,$C$1:$C221,"&lt;&gt;",$A$1:$A221,$A222)+1)</f>
      </c>
      <c r="E222" s="5">
        <f>IF($D222="","",IF(OR($D222=1,AND(Settings!$B$4="Yes",$D222&lt;=Settings!$B$2)),IF(COUNTIFS(Players!$A$2:$A$101,$B222,Players!$B$2:$B$101,"&lt;&gt;")=0,"Add a starting quota",ROUND(SUMIFS(Players!$B$2:$B$101,Players!$A$2:$A$101,$B222),Settings!$B$3)),ROUND(SUMIFS($C$2:$C$501,$B$2:$B$501,$B222,$D$2:$D$501,"&gt;="&amp;($D222-Settings!$B$2),$D$2:$D$501,"&lt;"&amp;$D222)/COUNTIFS($B$2:$B$501,$B222,$D$2:$D$501,"&gt;="&amp;($D222-Settings!$B$2),$D$2:$D$501,"&lt;"&amp;$D222),Settings!$B$3)))</f>
      </c>
      <c r="F222" s="5">
        <f>IF(ISNUMBER($E222),ROUND($C222-$E222,2),"")</f>
      </c>
      <c r="G222" s="5">
        <f>IF(ISNUMBER($F222),COUNTIFS($A$2:$A$501,$A222,$F$2:$F$501,"&gt;"&amp;$F222)+1,"")</f>
      </c>
    </row>
    <row r="223">
      <c r="A223" s="6"/>
      <c r="D223" s="5">
        <f>IF(OR($A223="",$B223="",$C223=""),"",COUNTIFS($B$2:$B$501,$B223,$C$2:$C$501,"&lt;&gt;",$A$2:$A$501,"&lt;"&amp;$A223)+COUNTIFS($B$1:$B222,$B223,$C$1:$C222,"&lt;&gt;",$A$1:$A222,$A223)+1)</f>
      </c>
      <c r="E223" s="5">
        <f>IF($D223="","",IF(OR($D223=1,AND(Settings!$B$4="Yes",$D223&lt;=Settings!$B$2)),IF(COUNTIFS(Players!$A$2:$A$101,$B223,Players!$B$2:$B$101,"&lt;&gt;")=0,"Add a starting quota",ROUND(SUMIFS(Players!$B$2:$B$101,Players!$A$2:$A$101,$B223),Settings!$B$3)),ROUND(SUMIFS($C$2:$C$501,$B$2:$B$501,$B223,$D$2:$D$501,"&gt;="&amp;($D223-Settings!$B$2),$D$2:$D$501,"&lt;"&amp;$D223)/COUNTIFS($B$2:$B$501,$B223,$D$2:$D$501,"&gt;="&amp;($D223-Settings!$B$2),$D$2:$D$501,"&lt;"&amp;$D223),Settings!$B$3)))</f>
      </c>
      <c r="F223" s="5">
        <f>IF(ISNUMBER($E223),ROUND($C223-$E223,2),"")</f>
      </c>
      <c r="G223" s="5">
        <f>IF(ISNUMBER($F223),COUNTIFS($A$2:$A$501,$A223,$F$2:$F$501,"&gt;"&amp;$F223)+1,"")</f>
      </c>
    </row>
    <row r="224">
      <c r="A224" s="6"/>
      <c r="D224" s="5">
        <f>IF(OR($A224="",$B224="",$C224=""),"",COUNTIFS($B$2:$B$501,$B224,$C$2:$C$501,"&lt;&gt;",$A$2:$A$501,"&lt;"&amp;$A224)+COUNTIFS($B$1:$B223,$B224,$C$1:$C223,"&lt;&gt;",$A$1:$A223,$A224)+1)</f>
      </c>
      <c r="E224" s="5">
        <f>IF($D224="","",IF(OR($D224=1,AND(Settings!$B$4="Yes",$D224&lt;=Settings!$B$2)),IF(COUNTIFS(Players!$A$2:$A$101,$B224,Players!$B$2:$B$101,"&lt;&gt;")=0,"Add a starting quota",ROUND(SUMIFS(Players!$B$2:$B$101,Players!$A$2:$A$101,$B224),Settings!$B$3)),ROUND(SUMIFS($C$2:$C$501,$B$2:$B$501,$B224,$D$2:$D$501,"&gt;="&amp;($D224-Settings!$B$2),$D$2:$D$501,"&lt;"&amp;$D224)/COUNTIFS($B$2:$B$501,$B224,$D$2:$D$501,"&gt;="&amp;($D224-Settings!$B$2),$D$2:$D$501,"&lt;"&amp;$D224),Settings!$B$3)))</f>
      </c>
      <c r="F224" s="5">
        <f>IF(ISNUMBER($E224),ROUND($C224-$E224,2),"")</f>
      </c>
      <c r="G224" s="5">
        <f>IF(ISNUMBER($F224),COUNTIFS($A$2:$A$501,$A224,$F$2:$F$501,"&gt;"&amp;$F224)+1,"")</f>
      </c>
    </row>
    <row r="225">
      <c r="A225" s="6"/>
      <c r="D225" s="5">
        <f>IF(OR($A225="",$B225="",$C225=""),"",COUNTIFS($B$2:$B$501,$B225,$C$2:$C$501,"&lt;&gt;",$A$2:$A$501,"&lt;"&amp;$A225)+COUNTIFS($B$1:$B224,$B225,$C$1:$C224,"&lt;&gt;",$A$1:$A224,$A225)+1)</f>
      </c>
      <c r="E225" s="5">
        <f>IF($D225="","",IF(OR($D225=1,AND(Settings!$B$4="Yes",$D225&lt;=Settings!$B$2)),IF(COUNTIFS(Players!$A$2:$A$101,$B225,Players!$B$2:$B$101,"&lt;&gt;")=0,"Add a starting quota",ROUND(SUMIFS(Players!$B$2:$B$101,Players!$A$2:$A$101,$B225),Settings!$B$3)),ROUND(SUMIFS($C$2:$C$501,$B$2:$B$501,$B225,$D$2:$D$501,"&gt;="&amp;($D225-Settings!$B$2),$D$2:$D$501,"&lt;"&amp;$D225)/COUNTIFS($B$2:$B$501,$B225,$D$2:$D$501,"&gt;="&amp;($D225-Settings!$B$2),$D$2:$D$501,"&lt;"&amp;$D225),Settings!$B$3)))</f>
      </c>
      <c r="F225" s="5">
        <f>IF(ISNUMBER($E225),ROUND($C225-$E225,2),"")</f>
      </c>
      <c r="G225" s="5">
        <f>IF(ISNUMBER($F225),COUNTIFS($A$2:$A$501,$A225,$F$2:$F$501,"&gt;"&amp;$F225)+1,"")</f>
      </c>
    </row>
    <row r="226">
      <c r="A226" s="6"/>
      <c r="D226" s="5">
        <f>IF(OR($A226="",$B226="",$C226=""),"",COUNTIFS($B$2:$B$501,$B226,$C$2:$C$501,"&lt;&gt;",$A$2:$A$501,"&lt;"&amp;$A226)+COUNTIFS($B$1:$B225,$B226,$C$1:$C225,"&lt;&gt;",$A$1:$A225,$A226)+1)</f>
      </c>
      <c r="E226" s="5">
        <f>IF($D226="","",IF(OR($D226=1,AND(Settings!$B$4="Yes",$D226&lt;=Settings!$B$2)),IF(COUNTIFS(Players!$A$2:$A$101,$B226,Players!$B$2:$B$101,"&lt;&gt;")=0,"Add a starting quota",ROUND(SUMIFS(Players!$B$2:$B$101,Players!$A$2:$A$101,$B226),Settings!$B$3)),ROUND(SUMIFS($C$2:$C$501,$B$2:$B$501,$B226,$D$2:$D$501,"&gt;="&amp;($D226-Settings!$B$2),$D$2:$D$501,"&lt;"&amp;$D226)/COUNTIFS($B$2:$B$501,$B226,$D$2:$D$501,"&gt;="&amp;($D226-Settings!$B$2),$D$2:$D$501,"&lt;"&amp;$D226),Settings!$B$3)))</f>
      </c>
      <c r="F226" s="5">
        <f>IF(ISNUMBER($E226),ROUND($C226-$E226,2),"")</f>
      </c>
      <c r="G226" s="5">
        <f>IF(ISNUMBER($F226),COUNTIFS($A$2:$A$501,$A226,$F$2:$F$501,"&gt;"&amp;$F226)+1,"")</f>
      </c>
    </row>
    <row r="227">
      <c r="A227" s="6"/>
      <c r="D227" s="5">
        <f>IF(OR($A227="",$B227="",$C227=""),"",COUNTIFS($B$2:$B$501,$B227,$C$2:$C$501,"&lt;&gt;",$A$2:$A$501,"&lt;"&amp;$A227)+COUNTIFS($B$1:$B226,$B227,$C$1:$C226,"&lt;&gt;",$A$1:$A226,$A227)+1)</f>
      </c>
      <c r="E227" s="5">
        <f>IF($D227="","",IF(OR($D227=1,AND(Settings!$B$4="Yes",$D227&lt;=Settings!$B$2)),IF(COUNTIFS(Players!$A$2:$A$101,$B227,Players!$B$2:$B$101,"&lt;&gt;")=0,"Add a starting quota",ROUND(SUMIFS(Players!$B$2:$B$101,Players!$A$2:$A$101,$B227),Settings!$B$3)),ROUND(SUMIFS($C$2:$C$501,$B$2:$B$501,$B227,$D$2:$D$501,"&gt;="&amp;($D227-Settings!$B$2),$D$2:$D$501,"&lt;"&amp;$D227)/COUNTIFS($B$2:$B$501,$B227,$D$2:$D$501,"&gt;="&amp;($D227-Settings!$B$2),$D$2:$D$501,"&lt;"&amp;$D227),Settings!$B$3)))</f>
      </c>
      <c r="F227" s="5">
        <f>IF(ISNUMBER($E227),ROUND($C227-$E227,2),"")</f>
      </c>
      <c r="G227" s="5">
        <f>IF(ISNUMBER($F227),COUNTIFS($A$2:$A$501,$A227,$F$2:$F$501,"&gt;"&amp;$F227)+1,"")</f>
      </c>
    </row>
    <row r="228">
      <c r="A228" s="6"/>
      <c r="D228" s="5">
        <f>IF(OR($A228="",$B228="",$C228=""),"",COUNTIFS($B$2:$B$501,$B228,$C$2:$C$501,"&lt;&gt;",$A$2:$A$501,"&lt;"&amp;$A228)+COUNTIFS($B$1:$B227,$B228,$C$1:$C227,"&lt;&gt;",$A$1:$A227,$A228)+1)</f>
      </c>
      <c r="E228" s="5">
        <f>IF($D228="","",IF(OR($D228=1,AND(Settings!$B$4="Yes",$D228&lt;=Settings!$B$2)),IF(COUNTIFS(Players!$A$2:$A$101,$B228,Players!$B$2:$B$101,"&lt;&gt;")=0,"Add a starting quota",ROUND(SUMIFS(Players!$B$2:$B$101,Players!$A$2:$A$101,$B228),Settings!$B$3)),ROUND(SUMIFS($C$2:$C$501,$B$2:$B$501,$B228,$D$2:$D$501,"&gt;="&amp;($D228-Settings!$B$2),$D$2:$D$501,"&lt;"&amp;$D228)/COUNTIFS($B$2:$B$501,$B228,$D$2:$D$501,"&gt;="&amp;($D228-Settings!$B$2),$D$2:$D$501,"&lt;"&amp;$D228),Settings!$B$3)))</f>
      </c>
      <c r="F228" s="5">
        <f>IF(ISNUMBER($E228),ROUND($C228-$E228,2),"")</f>
      </c>
      <c r="G228" s="5">
        <f>IF(ISNUMBER($F228),COUNTIFS($A$2:$A$501,$A228,$F$2:$F$501,"&gt;"&amp;$F228)+1,"")</f>
      </c>
    </row>
    <row r="229">
      <c r="A229" s="6"/>
      <c r="D229" s="5">
        <f>IF(OR($A229="",$B229="",$C229=""),"",COUNTIFS($B$2:$B$501,$B229,$C$2:$C$501,"&lt;&gt;",$A$2:$A$501,"&lt;"&amp;$A229)+COUNTIFS($B$1:$B228,$B229,$C$1:$C228,"&lt;&gt;",$A$1:$A228,$A229)+1)</f>
      </c>
      <c r="E229" s="5">
        <f>IF($D229="","",IF(OR($D229=1,AND(Settings!$B$4="Yes",$D229&lt;=Settings!$B$2)),IF(COUNTIFS(Players!$A$2:$A$101,$B229,Players!$B$2:$B$101,"&lt;&gt;")=0,"Add a starting quota",ROUND(SUMIFS(Players!$B$2:$B$101,Players!$A$2:$A$101,$B229),Settings!$B$3)),ROUND(SUMIFS($C$2:$C$501,$B$2:$B$501,$B229,$D$2:$D$501,"&gt;="&amp;($D229-Settings!$B$2),$D$2:$D$501,"&lt;"&amp;$D229)/COUNTIFS($B$2:$B$501,$B229,$D$2:$D$501,"&gt;="&amp;($D229-Settings!$B$2),$D$2:$D$501,"&lt;"&amp;$D229),Settings!$B$3)))</f>
      </c>
      <c r="F229" s="5">
        <f>IF(ISNUMBER($E229),ROUND($C229-$E229,2),"")</f>
      </c>
      <c r="G229" s="5">
        <f>IF(ISNUMBER($F229),COUNTIFS($A$2:$A$501,$A229,$F$2:$F$501,"&gt;"&amp;$F229)+1,"")</f>
      </c>
    </row>
    <row r="230">
      <c r="A230" s="6"/>
      <c r="D230" s="5">
        <f>IF(OR($A230="",$B230="",$C230=""),"",COUNTIFS($B$2:$B$501,$B230,$C$2:$C$501,"&lt;&gt;",$A$2:$A$501,"&lt;"&amp;$A230)+COUNTIFS($B$1:$B229,$B230,$C$1:$C229,"&lt;&gt;",$A$1:$A229,$A230)+1)</f>
      </c>
      <c r="E230" s="5">
        <f>IF($D230="","",IF(OR($D230=1,AND(Settings!$B$4="Yes",$D230&lt;=Settings!$B$2)),IF(COUNTIFS(Players!$A$2:$A$101,$B230,Players!$B$2:$B$101,"&lt;&gt;")=0,"Add a starting quota",ROUND(SUMIFS(Players!$B$2:$B$101,Players!$A$2:$A$101,$B230),Settings!$B$3)),ROUND(SUMIFS($C$2:$C$501,$B$2:$B$501,$B230,$D$2:$D$501,"&gt;="&amp;($D230-Settings!$B$2),$D$2:$D$501,"&lt;"&amp;$D230)/COUNTIFS($B$2:$B$501,$B230,$D$2:$D$501,"&gt;="&amp;($D230-Settings!$B$2),$D$2:$D$501,"&lt;"&amp;$D230),Settings!$B$3)))</f>
      </c>
      <c r="F230" s="5">
        <f>IF(ISNUMBER($E230),ROUND($C230-$E230,2),"")</f>
      </c>
      <c r="G230" s="5">
        <f>IF(ISNUMBER($F230),COUNTIFS($A$2:$A$501,$A230,$F$2:$F$501,"&gt;"&amp;$F230)+1,"")</f>
      </c>
    </row>
    <row r="231">
      <c r="A231" s="6"/>
      <c r="D231" s="5">
        <f>IF(OR($A231="",$B231="",$C231=""),"",COUNTIFS($B$2:$B$501,$B231,$C$2:$C$501,"&lt;&gt;",$A$2:$A$501,"&lt;"&amp;$A231)+COUNTIFS($B$1:$B230,$B231,$C$1:$C230,"&lt;&gt;",$A$1:$A230,$A231)+1)</f>
      </c>
      <c r="E231" s="5">
        <f>IF($D231="","",IF(OR($D231=1,AND(Settings!$B$4="Yes",$D231&lt;=Settings!$B$2)),IF(COUNTIFS(Players!$A$2:$A$101,$B231,Players!$B$2:$B$101,"&lt;&gt;")=0,"Add a starting quota",ROUND(SUMIFS(Players!$B$2:$B$101,Players!$A$2:$A$101,$B231),Settings!$B$3)),ROUND(SUMIFS($C$2:$C$501,$B$2:$B$501,$B231,$D$2:$D$501,"&gt;="&amp;($D231-Settings!$B$2),$D$2:$D$501,"&lt;"&amp;$D231)/COUNTIFS($B$2:$B$501,$B231,$D$2:$D$501,"&gt;="&amp;($D231-Settings!$B$2),$D$2:$D$501,"&lt;"&amp;$D231),Settings!$B$3)))</f>
      </c>
      <c r="F231" s="5">
        <f>IF(ISNUMBER($E231),ROUND($C231-$E231,2),"")</f>
      </c>
      <c r="G231" s="5">
        <f>IF(ISNUMBER($F231),COUNTIFS($A$2:$A$501,$A231,$F$2:$F$501,"&gt;"&amp;$F231)+1,"")</f>
      </c>
    </row>
    <row r="232">
      <c r="A232" s="6"/>
      <c r="D232" s="5">
        <f>IF(OR($A232="",$B232="",$C232=""),"",COUNTIFS($B$2:$B$501,$B232,$C$2:$C$501,"&lt;&gt;",$A$2:$A$501,"&lt;"&amp;$A232)+COUNTIFS($B$1:$B231,$B232,$C$1:$C231,"&lt;&gt;",$A$1:$A231,$A232)+1)</f>
      </c>
      <c r="E232" s="5">
        <f>IF($D232="","",IF(OR($D232=1,AND(Settings!$B$4="Yes",$D232&lt;=Settings!$B$2)),IF(COUNTIFS(Players!$A$2:$A$101,$B232,Players!$B$2:$B$101,"&lt;&gt;")=0,"Add a starting quota",ROUND(SUMIFS(Players!$B$2:$B$101,Players!$A$2:$A$101,$B232),Settings!$B$3)),ROUND(SUMIFS($C$2:$C$501,$B$2:$B$501,$B232,$D$2:$D$501,"&gt;="&amp;($D232-Settings!$B$2),$D$2:$D$501,"&lt;"&amp;$D232)/COUNTIFS($B$2:$B$501,$B232,$D$2:$D$501,"&gt;="&amp;($D232-Settings!$B$2),$D$2:$D$501,"&lt;"&amp;$D232),Settings!$B$3)))</f>
      </c>
      <c r="F232" s="5">
        <f>IF(ISNUMBER($E232),ROUND($C232-$E232,2),"")</f>
      </c>
      <c r="G232" s="5">
        <f>IF(ISNUMBER($F232),COUNTIFS($A$2:$A$501,$A232,$F$2:$F$501,"&gt;"&amp;$F232)+1,"")</f>
      </c>
    </row>
    <row r="233">
      <c r="A233" s="6"/>
      <c r="D233" s="5">
        <f>IF(OR($A233="",$B233="",$C233=""),"",COUNTIFS($B$2:$B$501,$B233,$C$2:$C$501,"&lt;&gt;",$A$2:$A$501,"&lt;"&amp;$A233)+COUNTIFS($B$1:$B232,$B233,$C$1:$C232,"&lt;&gt;",$A$1:$A232,$A233)+1)</f>
      </c>
      <c r="E233" s="5">
        <f>IF($D233="","",IF(OR($D233=1,AND(Settings!$B$4="Yes",$D233&lt;=Settings!$B$2)),IF(COUNTIFS(Players!$A$2:$A$101,$B233,Players!$B$2:$B$101,"&lt;&gt;")=0,"Add a starting quota",ROUND(SUMIFS(Players!$B$2:$B$101,Players!$A$2:$A$101,$B233),Settings!$B$3)),ROUND(SUMIFS($C$2:$C$501,$B$2:$B$501,$B233,$D$2:$D$501,"&gt;="&amp;($D233-Settings!$B$2),$D$2:$D$501,"&lt;"&amp;$D233)/COUNTIFS($B$2:$B$501,$B233,$D$2:$D$501,"&gt;="&amp;($D233-Settings!$B$2),$D$2:$D$501,"&lt;"&amp;$D233),Settings!$B$3)))</f>
      </c>
      <c r="F233" s="5">
        <f>IF(ISNUMBER($E233),ROUND($C233-$E233,2),"")</f>
      </c>
      <c r="G233" s="5">
        <f>IF(ISNUMBER($F233),COUNTIFS($A$2:$A$501,$A233,$F$2:$F$501,"&gt;"&amp;$F233)+1,"")</f>
      </c>
    </row>
    <row r="234">
      <c r="A234" s="6"/>
      <c r="D234" s="5">
        <f>IF(OR($A234="",$B234="",$C234=""),"",COUNTIFS($B$2:$B$501,$B234,$C$2:$C$501,"&lt;&gt;",$A$2:$A$501,"&lt;"&amp;$A234)+COUNTIFS($B$1:$B233,$B234,$C$1:$C233,"&lt;&gt;",$A$1:$A233,$A234)+1)</f>
      </c>
      <c r="E234" s="5">
        <f>IF($D234="","",IF(OR($D234=1,AND(Settings!$B$4="Yes",$D234&lt;=Settings!$B$2)),IF(COUNTIFS(Players!$A$2:$A$101,$B234,Players!$B$2:$B$101,"&lt;&gt;")=0,"Add a starting quota",ROUND(SUMIFS(Players!$B$2:$B$101,Players!$A$2:$A$101,$B234),Settings!$B$3)),ROUND(SUMIFS($C$2:$C$501,$B$2:$B$501,$B234,$D$2:$D$501,"&gt;="&amp;($D234-Settings!$B$2),$D$2:$D$501,"&lt;"&amp;$D234)/COUNTIFS($B$2:$B$501,$B234,$D$2:$D$501,"&gt;="&amp;($D234-Settings!$B$2),$D$2:$D$501,"&lt;"&amp;$D234),Settings!$B$3)))</f>
      </c>
      <c r="F234" s="5">
        <f>IF(ISNUMBER($E234),ROUND($C234-$E234,2),"")</f>
      </c>
      <c r="G234" s="5">
        <f>IF(ISNUMBER($F234),COUNTIFS($A$2:$A$501,$A234,$F$2:$F$501,"&gt;"&amp;$F234)+1,"")</f>
      </c>
    </row>
    <row r="235">
      <c r="A235" s="6"/>
      <c r="D235" s="5">
        <f>IF(OR($A235="",$B235="",$C235=""),"",COUNTIFS($B$2:$B$501,$B235,$C$2:$C$501,"&lt;&gt;",$A$2:$A$501,"&lt;"&amp;$A235)+COUNTIFS($B$1:$B234,$B235,$C$1:$C234,"&lt;&gt;",$A$1:$A234,$A235)+1)</f>
      </c>
      <c r="E235" s="5">
        <f>IF($D235="","",IF(OR($D235=1,AND(Settings!$B$4="Yes",$D235&lt;=Settings!$B$2)),IF(COUNTIFS(Players!$A$2:$A$101,$B235,Players!$B$2:$B$101,"&lt;&gt;")=0,"Add a starting quota",ROUND(SUMIFS(Players!$B$2:$B$101,Players!$A$2:$A$101,$B235),Settings!$B$3)),ROUND(SUMIFS($C$2:$C$501,$B$2:$B$501,$B235,$D$2:$D$501,"&gt;="&amp;($D235-Settings!$B$2),$D$2:$D$501,"&lt;"&amp;$D235)/COUNTIFS($B$2:$B$501,$B235,$D$2:$D$501,"&gt;="&amp;($D235-Settings!$B$2),$D$2:$D$501,"&lt;"&amp;$D235),Settings!$B$3)))</f>
      </c>
      <c r="F235" s="5">
        <f>IF(ISNUMBER($E235),ROUND($C235-$E235,2),"")</f>
      </c>
      <c r="G235" s="5">
        <f>IF(ISNUMBER($F235),COUNTIFS($A$2:$A$501,$A235,$F$2:$F$501,"&gt;"&amp;$F235)+1,"")</f>
      </c>
    </row>
    <row r="236">
      <c r="A236" s="6"/>
      <c r="D236" s="5">
        <f>IF(OR($A236="",$B236="",$C236=""),"",COUNTIFS($B$2:$B$501,$B236,$C$2:$C$501,"&lt;&gt;",$A$2:$A$501,"&lt;"&amp;$A236)+COUNTIFS($B$1:$B235,$B236,$C$1:$C235,"&lt;&gt;",$A$1:$A235,$A236)+1)</f>
      </c>
      <c r="E236" s="5">
        <f>IF($D236="","",IF(OR($D236=1,AND(Settings!$B$4="Yes",$D236&lt;=Settings!$B$2)),IF(COUNTIFS(Players!$A$2:$A$101,$B236,Players!$B$2:$B$101,"&lt;&gt;")=0,"Add a starting quota",ROUND(SUMIFS(Players!$B$2:$B$101,Players!$A$2:$A$101,$B236),Settings!$B$3)),ROUND(SUMIFS($C$2:$C$501,$B$2:$B$501,$B236,$D$2:$D$501,"&gt;="&amp;($D236-Settings!$B$2),$D$2:$D$501,"&lt;"&amp;$D236)/COUNTIFS($B$2:$B$501,$B236,$D$2:$D$501,"&gt;="&amp;($D236-Settings!$B$2),$D$2:$D$501,"&lt;"&amp;$D236),Settings!$B$3)))</f>
      </c>
      <c r="F236" s="5">
        <f>IF(ISNUMBER($E236),ROUND($C236-$E236,2),"")</f>
      </c>
      <c r="G236" s="5">
        <f>IF(ISNUMBER($F236),COUNTIFS($A$2:$A$501,$A236,$F$2:$F$501,"&gt;"&amp;$F236)+1,"")</f>
      </c>
    </row>
    <row r="237">
      <c r="A237" s="6"/>
      <c r="D237" s="5">
        <f>IF(OR($A237="",$B237="",$C237=""),"",COUNTIFS($B$2:$B$501,$B237,$C$2:$C$501,"&lt;&gt;",$A$2:$A$501,"&lt;"&amp;$A237)+COUNTIFS($B$1:$B236,$B237,$C$1:$C236,"&lt;&gt;",$A$1:$A236,$A237)+1)</f>
      </c>
      <c r="E237" s="5">
        <f>IF($D237="","",IF(OR($D237=1,AND(Settings!$B$4="Yes",$D237&lt;=Settings!$B$2)),IF(COUNTIFS(Players!$A$2:$A$101,$B237,Players!$B$2:$B$101,"&lt;&gt;")=0,"Add a starting quota",ROUND(SUMIFS(Players!$B$2:$B$101,Players!$A$2:$A$101,$B237),Settings!$B$3)),ROUND(SUMIFS($C$2:$C$501,$B$2:$B$501,$B237,$D$2:$D$501,"&gt;="&amp;($D237-Settings!$B$2),$D$2:$D$501,"&lt;"&amp;$D237)/COUNTIFS($B$2:$B$501,$B237,$D$2:$D$501,"&gt;="&amp;($D237-Settings!$B$2),$D$2:$D$501,"&lt;"&amp;$D237),Settings!$B$3)))</f>
      </c>
      <c r="F237" s="5">
        <f>IF(ISNUMBER($E237),ROUND($C237-$E237,2),"")</f>
      </c>
      <c r="G237" s="5">
        <f>IF(ISNUMBER($F237),COUNTIFS($A$2:$A$501,$A237,$F$2:$F$501,"&gt;"&amp;$F237)+1,"")</f>
      </c>
    </row>
    <row r="238">
      <c r="A238" s="6"/>
      <c r="D238" s="5">
        <f>IF(OR($A238="",$B238="",$C238=""),"",COUNTIFS($B$2:$B$501,$B238,$C$2:$C$501,"&lt;&gt;",$A$2:$A$501,"&lt;"&amp;$A238)+COUNTIFS($B$1:$B237,$B238,$C$1:$C237,"&lt;&gt;",$A$1:$A237,$A238)+1)</f>
      </c>
      <c r="E238" s="5">
        <f>IF($D238="","",IF(OR($D238=1,AND(Settings!$B$4="Yes",$D238&lt;=Settings!$B$2)),IF(COUNTIFS(Players!$A$2:$A$101,$B238,Players!$B$2:$B$101,"&lt;&gt;")=0,"Add a starting quota",ROUND(SUMIFS(Players!$B$2:$B$101,Players!$A$2:$A$101,$B238),Settings!$B$3)),ROUND(SUMIFS($C$2:$C$501,$B$2:$B$501,$B238,$D$2:$D$501,"&gt;="&amp;($D238-Settings!$B$2),$D$2:$D$501,"&lt;"&amp;$D238)/COUNTIFS($B$2:$B$501,$B238,$D$2:$D$501,"&gt;="&amp;($D238-Settings!$B$2),$D$2:$D$501,"&lt;"&amp;$D238),Settings!$B$3)))</f>
      </c>
      <c r="F238" s="5">
        <f>IF(ISNUMBER($E238),ROUND($C238-$E238,2),"")</f>
      </c>
      <c r="G238" s="5">
        <f>IF(ISNUMBER($F238),COUNTIFS($A$2:$A$501,$A238,$F$2:$F$501,"&gt;"&amp;$F238)+1,"")</f>
      </c>
    </row>
    <row r="239">
      <c r="A239" s="6"/>
      <c r="D239" s="5">
        <f>IF(OR($A239="",$B239="",$C239=""),"",COUNTIFS($B$2:$B$501,$B239,$C$2:$C$501,"&lt;&gt;",$A$2:$A$501,"&lt;"&amp;$A239)+COUNTIFS($B$1:$B238,$B239,$C$1:$C238,"&lt;&gt;",$A$1:$A238,$A239)+1)</f>
      </c>
      <c r="E239" s="5">
        <f>IF($D239="","",IF(OR($D239=1,AND(Settings!$B$4="Yes",$D239&lt;=Settings!$B$2)),IF(COUNTIFS(Players!$A$2:$A$101,$B239,Players!$B$2:$B$101,"&lt;&gt;")=0,"Add a starting quota",ROUND(SUMIFS(Players!$B$2:$B$101,Players!$A$2:$A$101,$B239),Settings!$B$3)),ROUND(SUMIFS($C$2:$C$501,$B$2:$B$501,$B239,$D$2:$D$501,"&gt;="&amp;($D239-Settings!$B$2),$D$2:$D$501,"&lt;"&amp;$D239)/COUNTIFS($B$2:$B$501,$B239,$D$2:$D$501,"&gt;="&amp;($D239-Settings!$B$2),$D$2:$D$501,"&lt;"&amp;$D239),Settings!$B$3)))</f>
      </c>
      <c r="F239" s="5">
        <f>IF(ISNUMBER($E239),ROUND($C239-$E239,2),"")</f>
      </c>
      <c r="G239" s="5">
        <f>IF(ISNUMBER($F239),COUNTIFS($A$2:$A$501,$A239,$F$2:$F$501,"&gt;"&amp;$F239)+1,"")</f>
      </c>
    </row>
    <row r="240">
      <c r="A240" s="6"/>
      <c r="D240" s="5">
        <f>IF(OR($A240="",$B240="",$C240=""),"",COUNTIFS($B$2:$B$501,$B240,$C$2:$C$501,"&lt;&gt;",$A$2:$A$501,"&lt;"&amp;$A240)+COUNTIFS($B$1:$B239,$B240,$C$1:$C239,"&lt;&gt;",$A$1:$A239,$A240)+1)</f>
      </c>
      <c r="E240" s="5">
        <f>IF($D240="","",IF(OR($D240=1,AND(Settings!$B$4="Yes",$D240&lt;=Settings!$B$2)),IF(COUNTIFS(Players!$A$2:$A$101,$B240,Players!$B$2:$B$101,"&lt;&gt;")=0,"Add a starting quota",ROUND(SUMIFS(Players!$B$2:$B$101,Players!$A$2:$A$101,$B240),Settings!$B$3)),ROUND(SUMIFS($C$2:$C$501,$B$2:$B$501,$B240,$D$2:$D$501,"&gt;="&amp;($D240-Settings!$B$2),$D$2:$D$501,"&lt;"&amp;$D240)/COUNTIFS($B$2:$B$501,$B240,$D$2:$D$501,"&gt;="&amp;($D240-Settings!$B$2),$D$2:$D$501,"&lt;"&amp;$D240),Settings!$B$3)))</f>
      </c>
      <c r="F240" s="5">
        <f>IF(ISNUMBER($E240),ROUND($C240-$E240,2),"")</f>
      </c>
      <c r="G240" s="5">
        <f>IF(ISNUMBER($F240),COUNTIFS($A$2:$A$501,$A240,$F$2:$F$501,"&gt;"&amp;$F240)+1,"")</f>
      </c>
    </row>
    <row r="241">
      <c r="A241" s="6"/>
      <c r="D241" s="5">
        <f>IF(OR($A241="",$B241="",$C241=""),"",COUNTIFS($B$2:$B$501,$B241,$C$2:$C$501,"&lt;&gt;",$A$2:$A$501,"&lt;"&amp;$A241)+COUNTIFS($B$1:$B240,$B241,$C$1:$C240,"&lt;&gt;",$A$1:$A240,$A241)+1)</f>
      </c>
      <c r="E241" s="5">
        <f>IF($D241="","",IF(OR($D241=1,AND(Settings!$B$4="Yes",$D241&lt;=Settings!$B$2)),IF(COUNTIFS(Players!$A$2:$A$101,$B241,Players!$B$2:$B$101,"&lt;&gt;")=0,"Add a starting quota",ROUND(SUMIFS(Players!$B$2:$B$101,Players!$A$2:$A$101,$B241),Settings!$B$3)),ROUND(SUMIFS($C$2:$C$501,$B$2:$B$501,$B241,$D$2:$D$501,"&gt;="&amp;($D241-Settings!$B$2),$D$2:$D$501,"&lt;"&amp;$D241)/COUNTIFS($B$2:$B$501,$B241,$D$2:$D$501,"&gt;="&amp;($D241-Settings!$B$2),$D$2:$D$501,"&lt;"&amp;$D241),Settings!$B$3)))</f>
      </c>
      <c r="F241" s="5">
        <f>IF(ISNUMBER($E241),ROUND($C241-$E241,2),"")</f>
      </c>
      <c r="G241" s="5">
        <f>IF(ISNUMBER($F241),COUNTIFS($A$2:$A$501,$A241,$F$2:$F$501,"&gt;"&amp;$F241)+1,"")</f>
      </c>
    </row>
    <row r="242">
      <c r="A242" s="6"/>
      <c r="D242" s="5">
        <f>IF(OR($A242="",$B242="",$C242=""),"",COUNTIFS($B$2:$B$501,$B242,$C$2:$C$501,"&lt;&gt;",$A$2:$A$501,"&lt;"&amp;$A242)+COUNTIFS($B$1:$B241,$B242,$C$1:$C241,"&lt;&gt;",$A$1:$A241,$A242)+1)</f>
      </c>
      <c r="E242" s="5">
        <f>IF($D242="","",IF(OR($D242=1,AND(Settings!$B$4="Yes",$D242&lt;=Settings!$B$2)),IF(COUNTIFS(Players!$A$2:$A$101,$B242,Players!$B$2:$B$101,"&lt;&gt;")=0,"Add a starting quota",ROUND(SUMIFS(Players!$B$2:$B$101,Players!$A$2:$A$101,$B242),Settings!$B$3)),ROUND(SUMIFS($C$2:$C$501,$B$2:$B$501,$B242,$D$2:$D$501,"&gt;="&amp;($D242-Settings!$B$2),$D$2:$D$501,"&lt;"&amp;$D242)/COUNTIFS($B$2:$B$501,$B242,$D$2:$D$501,"&gt;="&amp;($D242-Settings!$B$2),$D$2:$D$501,"&lt;"&amp;$D242),Settings!$B$3)))</f>
      </c>
      <c r="F242" s="5">
        <f>IF(ISNUMBER($E242),ROUND($C242-$E242,2),"")</f>
      </c>
      <c r="G242" s="5">
        <f>IF(ISNUMBER($F242),COUNTIFS($A$2:$A$501,$A242,$F$2:$F$501,"&gt;"&amp;$F242)+1,"")</f>
      </c>
    </row>
    <row r="243">
      <c r="A243" s="6"/>
      <c r="D243" s="5">
        <f>IF(OR($A243="",$B243="",$C243=""),"",COUNTIFS($B$2:$B$501,$B243,$C$2:$C$501,"&lt;&gt;",$A$2:$A$501,"&lt;"&amp;$A243)+COUNTIFS($B$1:$B242,$B243,$C$1:$C242,"&lt;&gt;",$A$1:$A242,$A243)+1)</f>
      </c>
      <c r="E243" s="5">
        <f>IF($D243="","",IF(OR($D243=1,AND(Settings!$B$4="Yes",$D243&lt;=Settings!$B$2)),IF(COUNTIFS(Players!$A$2:$A$101,$B243,Players!$B$2:$B$101,"&lt;&gt;")=0,"Add a starting quota",ROUND(SUMIFS(Players!$B$2:$B$101,Players!$A$2:$A$101,$B243),Settings!$B$3)),ROUND(SUMIFS($C$2:$C$501,$B$2:$B$501,$B243,$D$2:$D$501,"&gt;="&amp;($D243-Settings!$B$2),$D$2:$D$501,"&lt;"&amp;$D243)/COUNTIFS($B$2:$B$501,$B243,$D$2:$D$501,"&gt;="&amp;($D243-Settings!$B$2),$D$2:$D$501,"&lt;"&amp;$D243),Settings!$B$3)))</f>
      </c>
      <c r="F243" s="5">
        <f>IF(ISNUMBER($E243),ROUND($C243-$E243,2),"")</f>
      </c>
      <c r="G243" s="5">
        <f>IF(ISNUMBER($F243),COUNTIFS($A$2:$A$501,$A243,$F$2:$F$501,"&gt;"&amp;$F243)+1,"")</f>
      </c>
    </row>
    <row r="244">
      <c r="A244" s="6"/>
      <c r="D244" s="5">
        <f>IF(OR($A244="",$B244="",$C244=""),"",COUNTIFS($B$2:$B$501,$B244,$C$2:$C$501,"&lt;&gt;",$A$2:$A$501,"&lt;"&amp;$A244)+COUNTIFS($B$1:$B243,$B244,$C$1:$C243,"&lt;&gt;",$A$1:$A243,$A244)+1)</f>
      </c>
      <c r="E244" s="5">
        <f>IF($D244="","",IF(OR($D244=1,AND(Settings!$B$4="Yes",$D244&lt;=Settings!$B$2)),IF(COUNTIFS(Players!$A$2:$A$101,$B244,Players!$B$2:$B$101,"&lt;&gt;")=0,"Add a starting quota",ROUND(SUMIFS(Players!$B$2:$B$101,Players!$A$2:$A$101,$B244),Settings!$B$3)),ROUND(SUMIFS($C$2:$C$501,$B$2:$B$501,$B244,$D$2:$D$501,"&gt;="&amp;($D244-Settings!$B$2),$D$2:$D$501,"&lt;"&amp;$D244)/COUNTIFS($B$2:$B$501,$B244,$D$2:$D$501,"&gt;="&amp;($D244-Settings!$B$2),$D$2:$D$501,"&lt;"&amp;$D244),Settings!$B$3)))</f>
      </c>
      <c r="F244" s="5">
        <f>IF(ISNUMBER($E244),ROUND($C244-$E244,2),"")</f>
      </c>
      <c r="G244" s="5">
        <f>IF(ISNUMBER($F244),COUNTIFS($A$2:$A$501,$A244,$F$2:$F$501,"&gt;"&amp;$F244)+1,"")</f>
      </c>
    </row>
    <row r="245">
      <c r="A245" s="6"/>
      <c r="D245" s="5">
        <f>IF(OR($A245="",$B245="",$C245=""),"",COUNTIFS($B$2:$B$501,$B245,$C$2:$C$501,"&lt;&gt;",$A$2:$A$501,"&lt;"&amp;$A245)+COUNTIFS($B$1:$B244,$B245,$C$1:$C244,"&lt;&gt;",$A$1:$A244,$A245)+1)</f>
      </c>
      <c r="E245" s="5">
        <f>IF($D245="","",IF(OR($D245=1,AND(Settings!$B$4="Yes",$D245&lt;=Settings!$B$2)),IF(COUNTIFS(Players!$A$2:$A$101,$B245,Players!$B$2:$B$101,"&lt;&gt;")=0,"Add a starting quota",ROUND(SUMIFS(Players!$B$2:$B$101,Players!$A$2:$A$101,$B245),Settings!$B$3)),ROUND(SUMIFS($C$2:$C$501,$B$2:$B$501,$B245,$D$2:$D$501,"&gt;="&amp;($D245-Settings!$B$2),$D$2:$D$501,"&lt;"&amp;$D245)/COUNTIFS($B$2:$B$501,$B245,$D$2:$D$501,"&gt;="&amp;($D245-Settings!$B$2),$D$2:$D$501,"&lt;"&amp;$D245),Settings!$B$3)))</f>
      </c>
      <c r="F245" s="5">
        <f>IF(ISNUMBER($E245),ROUND($C245-$E245,2),"")</f>
      </c>
      <c r="G245" s="5">
        <f>IF(ISNUMBER($F245),COUNTIFS($A$2:$A$501,$A245,$F$2:$F$501,"&gt;"&amp;$F245)+1,"")</f>
      </c>
    </row>
    <row r="246">
      <c r="A246" s="6"/>
      <c r="D246" s="5">
        <f>IF(OR($A246="",$B246="",$C246=""),"",COUNTIFS($B$2:$B$501,$B246,$C$2:$C$501,"&lt;&gt;",$A$2:$A$501,"&lt;"&amp;$A246)+COUNTIFS($B$1:$B245,$B246,$C$1:$C245,"&lt;&gt;",$A$1:$A245,$A246)+1)</f>
      </c>
      <c r="E246" s="5">
        <f>IF($D246="","",IF(OR($D246=1,AND(Settings!$B$4="Yes",$D246&lt;=Settings!$B$2)),IF(COUNTIFS(Players!$A$2:$A$101,$B246,Players!$B$2:$B$101,"&lt;&gt;")=0,"Add a starting quota",ROUND(SUMIFS(Players!$B$2:$B$101,Players!$A$2:$A$101,$B246),Settings!$B$3)),ROUND(SUMIFS($C$2:$C$501,$B$2:$B$501,$B246,$D$2:$D$501,"&gt;="&amp;($D246-Settings!$B$2),$D$2:$D$501,"&lt;"&amp;$D246)/COUNTIFS($B$2:$B$501,$B246,$D$2:$D$501,"&gt;="&amp;($D246-Settings!$B$2),$D$2:$D$501,"&lt;"&amp;$D246),Settings!$B$3)))</f>
      </c>
      <c r="F246" s="5">
        <f>IF(ISNUMBER($E246),ROUND($C246-$E246,2),"")</f>
      </c>
      <c r="G246" s="5">
        <f>IF(ISNUMBER($F246),COUNTIFS($A$2:$A$501,$A246,$F$2:$F$501,"&gt;"&amp;$F246)+1,"")</f>
      </c>
    </row>
    <row r="247">
      <c r="A247" s="6"/>
      <c r="D247" s="5">
        <f>IF(OR($A247="",$B247="",$C247=""),"",COUNTIFS($B$2:$B$501,$B247,$C$2:$C$501,"&lt;&gt;",$A$2:$A$501,"&lt;"&amp;$A247)+COUNTIFS($B$1:$B246,$B247,$C$1:$C246,"&lt;&gt;",$A$1:$A246,$A247)+1)</f>
      </c>
      <c r="E247" s="5">
        <f>IF($D247="","",IF(OR($D247=1,AND(Settings!$B$4="Yes",$D247&lt;=Settings!$B$2)),IF(COUNTIFS(Players!$A$2:$A$101,$B247,Players!$B$2:$B$101,"&lt;&gt;")=0,"Add a starting quota",ROUND(SUMIFS(Players!$B$2:$B$101,Players!$A$2:$A$101,$B247),Settings!$B$3)),ROUND(SUMIFS($C$2:$C$501,$B$2:$B$501,$B247,$D$2:$D$501,"&gt;="&amp;($D247-Settings!$B$2),$D$2:$D$501,"&lt;"&amp;$D247)/COUNTIFS($B$2:$B$501,$B247,$D$2:$D$501,"&gt;="&amp;($D247-Settings!$B$2),$D$2:$D$501,"&lt;"&amp;$D247),Settings!$B$3)))</f>
      </c>
      <c r="F247" s="5">
        <f>IF(ISNUMBER($E247),ROUND($C247-$E247,2),"")</f>
      </c>
      <c r="G247" s="5">
        <f>IF(ISNUMBER($F247),COUNTIFS($A$2:$A$501,$A247,$F$2:$F$501,"&gt;"&amp;$F247)+1,"")</f>
      </c>
    </row>
    <row r="248">
      <c r="A248" s="6"/>
      <c r="D248" s="5">
        <f>IF(OR($A248="",$B248="",$C248=""),"",COUNTIFS($B$2:$B$501,$B248,$C$2:$C$501,"&lt;&gt;",$A$2:$A$501,"&lt;"&amp;$A248)+COUNTIFS($B$1:$B247,$B248,$C$1:$C247,"&lt;&gt;",$A$1:$A247,$A248)+1)</f>
      </c>
      <c r="E248" s="5">
        <f>IF($D248="","",IF(OR($D248=1,AND(Settings!$B$4="Yes",$D248&lt;=Settings!$B$2)),IF(COUNTIFS(Players!$A$2:$A$101,$B248,Players!$B$2:$B$101,"&lt;&gt;")=0,"Add a starting quota",ROUND(SUMIFS(Players!$B$2:$B$101,Players!$A$2:$A$101,$B248),Settings!$B$3)),ROUND(SUMIFS($C$2:$C$501,$B$2:$B$501,$B248,$D$2:$D$501,"&gt;="&amp;($D248-Settings!$B$2),$D$2:$D$501,"&lt;"&amp;$D248)/COUNTIFS($B$2:$B$501,$B248,$D$2:$D$501,"&gt;="&amp;($D248-Settings!$B$2),$D$2:$D$501,"&lt;"&amp;$D248),Settings!$B$3)))</f>
      </c>
      <c r="F248" s="5">
        <f>IF(ISNUMBER($E248),ROUND($C248-$E248,2),"")</f>
      </c>
      <c r="G248" s="5">
        <f>IF(ISNUMBER($F248),COUNTIFS($A$2:$A$501,$A248,$F$2:$F$501,"&gt;"&amp;$F248)+1,"")</f>
      </c>
    </row>
    <row r="249">
      <c r="A249" s="6"/>
      <c r="D249" s="5">
        <f>IF(OR($A249="",$B249="",$C249=""),"",COUNTIFS($B$2:$B$501,$B249,$C$2:$C$501,"&lt;&gt;",$A$2:$A$501,"&lt;"&amp;$A249)+COUNTIFS($B$1:$B248,$B249,$C$1:$C248,"&lt;&gt;",$A$1:$A248,$A249)+1)</f>
      </c>
      <c r="E249" s="5">
        <f>IF($D249="","",IF(OR($D249=1,AND(Settings!$B$4="Yes",$D249&lt;=Settings!$B$2)),IF(COUNTIFS(Players!$A$2:$A$101,$B249,Players!$B$2:$B$101,"&lt;&gt;")=0,"Add a starting quota",ROUND(SUMIFS(Players!$B$2:$B$101,Players!$A$2:$A$101,$B249),Settings!$B$3)),ROUND(SUMIFS($C$2:$C$501,$B$2:$B$501,$B249,$D$2:$D$501,"&gt;="&amp;($D249-Settings!$B$2),$D$2:$D$501,"&lt;"&amp;$D249)/COUNTIFS($B$2:$B$501,$B249,$D$2:$D$501,"&gt;="&amp;($D249-Settings!$B$2),$D$2:$D$501,"&lt;"&amp;$D249),Settings!$B$3)))</f>
      </c>
      <c r="F249" s="5">
        <f>IF(ISNUMBER($E249),ROUND($C249-$E249,2),"")</f>
      </c>
      <c r="G249" s="5">
        <f>IF(ISNUMBER($F249),COUNTIFS($A$2:$A$501,$A249,$F$2:$F$501,"&gt;"&amp;$F249)+1,"")</f>
      </c>
    </row>
    <row r="250">
      <c r="A250" s="6"/>
      <c r="D250" s="5">
        <f>IF(OR($A250="",$B250="",$C250=""),"",COUNTIFS($B$2:$B$501,$B250,$C$2:$C$501,"&lt;&gt;",$A$2:$A$501,"&lt;"&amp;$A250)+COUNTIFS($B$1:$B249,$B250,$C$1:$C249,"&lt;&gt;",$A$1:$A249,$A250)+1)</f>
      </c>
      <c r="E250" s="5">
        <f>IF($D250="","",IF(OR($D250=1,AND(Settings!$B$4="Yes",$D250&lt;=Settings!$B$2)),IF(COUNTIFS(Players!$A$2:$A$101,$B250,Players!$B$2:$B$101,"&lt;&gt;")=0,"Add a starting quota",ROUND(SUMIFS(Players!$B$2:$B$101,Players!$A$2:$A$101,$B250),Settings!$B$3)),ROUND(SUMIFS($C$2:$C$501,$B$2:$B$501,$B250,$D$2:$D$501,"&gt;="&amp;($D250-Settings!$B$2),$D$2:$D$501,"&lt;"&amp;$D250)/COUNTIFS($B$2:$B$501,$B250,$D$2:$D$501,"&gt;="&amp;($D250-Settings!$B$2),$D$2:$D$501,"&lt;"&amp;$D250),Settings!$B$3)))</f>
      </c>
      <c r="F250" s="5">
        <f>IF(ISNUMBER($E250),ROUND($C250-$E250,2),"")</f>
      </c>
      <c r="G250" s="5">
        <f>IF(ISNUMBER($F250),COUNTIFS($A$2:$A$501,$A250,$F$2:$F$501,"&gt;"&amp;$F250)+1,"")</f>
      </c>
    </row>
    <row r="251">
      <c r="A251" s="6"/>
      <c r="D251" s="5">
        <f>IF(OR($A251="",$B251="",$C251=""),"",COUNTIFS($B$2:$B$501,$B251,$C$2:$C$501,"&lt;&gt;",$A$2:$A$501,"&lt;"&amp;$A251)+COUNTIFS($B$1:$B250,$B251,$C$1:$C250,"&lt;&gt;",$A$1:$A250,$A251)+1)</f>
      </c>
      <c r="E251" s="5">
        <f>IF($D251="","",IF(OR($D251=1,AND(Settings!$B$4="Yes",$D251&lt;=Settings!$B$2)),IF(COUNTIFS(Players!$A$2:$A$101,$B251,Players!$B$2:$B$101,"&lt;&gt;")=0,"Add a starting quota",ROUND(SUMIFS(Players!$B$2:$B$101,Players!$A$2:$A$101,$B251),Settings!$B$3)),ROUND(SUMIFS($C$2:$C$501,$B$2:$B$501,$B251,$D$2:$D$501,"&gt;="&amp;($D251-Settings!$B$2),$D$2:$D$501,"&lt;"&amp;$D251)/COUNTIFS($B$2:$B$501,$B251,$D$2:$D$501,"&gt;="&amp;($D251-Settings!$B$2),$D$2:$D$501,"&lt;"&amp;$D251),Settings!$B$3)))</f>
      </c>
      <c r="F251" s="5">
        <f>IF(ISNUMBER($E251),ROUND($C251-$E251,2),"")</f>
      </c>
      <c r="G251" s="5">
        <f>IF(ISNUMBER($F251),COUNTIFS($A$2:$A$501,$A251,$F$2:$F$501,"&gt;"&amp;$F251)+1,"")</f>
      </c>
    </row>
    <row r="252">
      <c r="A252" s="6"/>
      <c r="D252" s="5">
        <f>IF(OR($A252="",$B252="",$C252=""),"",COUNTIFS($B$2:$B$501,$B252,$C$2:$C$501,"&lt;&gt;",$A$2:$A$501,"&lt;"&amp;$A252)+COUNTIFS($B$1:$B251,$B252,$C$1:$C251,"&lt;&gt;",$A$1:$A251,$A252)+1)</f>
      </c>
      <c r="E252" s="5">
        <f>IF($D252="","",IF(OR($D252=1,AND(Settings!$B$4="Yes",$D252&lt;=Settings!$B$2)),IF(COUNTIFS(Players!$A$2:$A$101,$B252,Players!$B$2:$B$101,"&lt;&gt;")=0,"Add a starting quota",ROUND(SUMIFS(Players!$B$2:$B$101,Players!$A$2:$A$101,$B252),Settings!$B$3)),ROUND(SUMIFS($C$2:$C$501,$B$2:$B$501,$B252,$D$2:$D$501,"&gt;="&amp;($D252-Settings!$B$2),$D$2:$D$501,"&lt;"&amp;$D252)/COUNTIFS($B$2:$B$501,$B252,$D$2:$D$501,"&gt;="&amp;($D252-Settings!$B$2),$D$2:$D$501,"&lt;"&amp;$D252),Settings!$B$3)))</f>
      </c>
      <c r="F252" s="5">
        <f>IF(ISNUMBER($E252),ROUND($C252-$E252,2),"")</f>
      </c>
      <c r="G252" s="5">
        <f>IF(ISNUMBER($F252),COUNTIFS($A$2:$A$501,$A252,$F$2:$F$501,"&gt;"&amp;$F252)+1,"")</f>
      </c>
    </row>
    <row r="253">
      <c r="A253" s="6"/>
      <c r="D253" s="5">
        <f>IF(OR($A253="",$B253="",$C253=""),"",COUNTIFS($B$2:$B$501,$B253,$C$2:$C$501,"&lt;&gt;",$A$2:$A$501,"&lt;"&amp;$A253)+COUNTIFS($B$1:$B252,$B253,$C$1:$C252,"&lt;&gt;",$A$1:$A252,$A253)+1)</f>
      </c>
      <c r="E253" s="5">
        <f>IF($D253="","",IF(OR($D253=1,AND(Settings!$B$4="Yes",$D253&lt;=Settings!$B$2)),IF(COUNTIFS(Players!$A$2:$A$101,$B253,Players!$B$2:$B$101,"&lt;&gt;")=0,"Add a starting quota",ROUND(SUMIFS(Players!$B$2:$B$101,Players!$A$2:$A$101,$B253),Settings!$B$3)),ROUND(SUMIFS($C$2:$C$501,$B$2:$B$501,$B253,$D$2:$D$501,"&gt;="&amp;($D253-Settings!$B$2),$D$2:$D$501,"&lt;"&amp;$D253)/COUNTIFS($B$2:$B$501,$B253,$D$2:$D$501,"&gt;="&amp;($D253-Settings!$B$2),$D$2:$D$501,"&lt;"&amp;$D253),Settings!$B$3)))</f>
      </c>
      <c r="F253" s="5">
        <f>IF(ISNUMBER($E253),ROUND($C253-$E253,2),"")</f>
      </c>
      <c r="G253" s="5">
        <f>IF(ISNUMBER($F253),COUNTIFS($A$2:$A$501,$A253,$F$2:$F$501,"&gt;"&amp;$F253)+1,"")</f>
      </c>
    </row>
    <row r="254">
      <c r="A254" s="6"/>
      <c r="D254" s="5">
        <f>IF(OR($A254="",$B254="",$C254=""),"",COUNTIFS($B$2:$B$501,$B254,$C$2:$C$501,"&lt;&gt;",$A$2:$A$501,"&lt;"&amp;$A254)+COUNTIFS($B$1:$B253,$B254,$C$1:$C253,"&lt;&gt;",$A$1:$A253,$A254)+1)</f>
      </c>
      <c r="E254" s="5">
        <f>IF($D254="","",IF(OR($D254=1,AND(Settings!$B$4="Yes",$D254&lt;=Settings!$B$2)),IF(COUNTIFS(Players!$A$2:$A$101,$B254,Players!$B$2:$B$101,"&lt;&gt;")=0,"Add a starting quota",ROUND(SUMIFS(Players!$B$2:$B$101,Players!$A$2:$A$101,$B254),Settings!$B$3)),ROUND(SUMIFS($C$2:$C$501,$B$2:$B$501,$B254,$D$2:$D$501,"&gt;="&amp;($D254-Settings!$B$2),$D$2:$D$501,"&lt;"&amp;$D254)/COUNTIFS($B$2:$B$501,$B254,$D$2:$D$501,"&gt;="&amp;($D254-Settings!$B$2),$D$2:$D$501,"&lt;"&amp;$D254),Settings!$B$3)))</f>
      </c>
      <c r="F254" s="5">
        <f>IF(ISNUMBER($E254),ROUND($C254-$E254,2),"")</f>
      </c>
      <c r="G254" s="5">
        <f>IF(ISNUMBER($F254),COUNTIFS($A$2:$A$501,$A254,$F$2:$F$501,"&gt;"&amp;$F254)+1,"")</f>
      </c>
    </row>
    <row r="255">
      <c r="A255" s="6"/>
      <c r="D255" s="5">
        <f>IF(OR($A255="",$B255="",$C255=""),"",COUNTIFS($B$2:$B$501,$B255,$C$2:$C$501,"&lt;&gt;",$A$2:$A$501,"&lt;"&amp;$A255)+COUNTIFS($B$1:$B254,$B255,$C$1:$C254,"&lt;&gt;",$A$1:$A254,$A255)+1)</f>
      </c>
      <c r="E255" s="5">
        <f>IF($D255="","",IF(OR($D255=1,AND(Settings!$B$4="Yes",$D255&lt;=Settings!$B$2)),IF(COUNTIFS(Players!$A$2:$A$101,$B255,Players!$B$2:$B$101,"&lt;&gt;")=0,"Add a starting quota",ROUND(SUMIFS(Players!$B$2:$B$101,Players!$A$2:$A$101,$B255),Settings!$B$3)),ROUND(SUMIFS($C$2:$C$501,$B$2:$B$501,$B255,$D$2:$D$501,"&gt;="&amp;($D255-Settings!$B$2),$D$2:$D$501,"&lt;"&amp;$D255)/COUNTIFS($B$2:$B$501,$B255,$D$2:$D$501,"&gt;="&amp;($D255-Settings!$B$2),$D$2:$D$501,"&lt;"&amp;$D255),Settings!$B$3)))</f>
      </c>
      <c r="F255" s="5">
        <f>IF(ISNUMBER($E255),ROUND($C255-$E255,2),"")</f>
      </c>
      <c r="G255" s="5">
        <f>IF(ISNUMBER($F255),COUNTIFS($A$2:$A$501,$A255,$F$2:$F$501,"&gt;"&amp;$F255)+1,"")</f>
      </c>
    </row>
    <row r="256">
      <c r="A256" s="6"/>
      <c r="D256" s="5">
        <f>IF(OR($A256="",$B256="",$C256=""),"",COUNTIFS($B$2:$B$501,$B256,$C$2:$C$501,"&lt;&gt;",$A$2:$A$501,"&lt;"&amp;$A256)+COUNTIFS($B$1:$B255,$B256,$C$1:$C255,"&lt;&gt;",$A$1:$A255,$A256)+1)</f>
      </c>
      <c r="E256" s="5">
        <f>IF($D256="","",IF(OR($D256=1,AND(Settings!$B$4="Yes",$D256&lt;=Settings!$B$2)),IF(COUNTIFS(Players!$A$2:$A$101,$B256,Players!$B$2:$B$101,"&lt;&gt;")=0,"Add a starting quota",ROUND(SUMIFS(Players!$B$2:$B$101,Players!$A$2:$A$101,$B256),Settings!$B$3)),ROUND(SUMIFS($C$2:$C$501,$B$2:$B$501,$B256,$D$2:$D$501,"&gt;="&amp;($D256-Settings!$B$2),$D$2:$D$501,"&lt;"&amp;$D256)/COUNTIFS($B$2:$B$501,$B256,$D$2:$D$501,"&gt;="&amp;($D256-Settings!$B$2),$D$2:$D$501,"&lt;"&amp;$D256),Settings!$B$3)))</f>
      </c>
      <c r="F256" s="5">
        <f>IF(ISNUMBER($E256),ROUND($C256-$E256,2),"")</f>
      </c>
      <c r="G256" s="5">
        <f>IF(ISNUMBER($F256),COUNTIFS($A$2:$A$501,$A256,$F$2:$F$501,"&gt;"&amp;$F256)+1,"")</f>
      </c>
    </row>
    <row r="257">
      <c r="A257" s="6"/>
      <c r="D257" s="5">
        <f>IF(OR($A257="",$B257="",$C257=""),"",COUNTIFS($B$2:$B$501,$B257,$C$2:$C$501,"&lt;&gt;",$A$2:$A$501,"&lt;"&amp;$A257)+COUNTIFS($B$1:$B256,$B257,$C$1:$C256,"&lt;&gt;",$A$1:$A256,$A257)+1)</f>
      </c>
      <c r="E257" s="5">
        <f>IF($D257="","",IF(OR($D257=1,AND(Settings!$B$4="Yes",$D257&lt;=Settings!$B$2)),IF(COUNTIFS(Players!$A$2:$A$101,$B257,Players!$B$2:$B$101,"&lt;&gt;")=0,"Add a starting quota",ROUND(SUMIFS(Players!$B$2:$B$101,Players!$A$2:$A$101,$B257),Settings!$B$3)),ROUND(SUMIFS($C$2:$C$501,$B$2:$B$501,$B257,$D$2:$D$501,"&gt;="&amp;($D257-Settings!$B$2),$D$2:$D$501,"&lt;"&amp;$D257)/COUNTIFS($B$2:$B$501,$B257,$D$2:$D$501,"&gt;="&amp;($D257-Settings!$B$2),$D$2:$D$501,"&lt;"&amp;$D257),Settings!$B$3)))</f>
      </c>
      <c r="F257" s="5">
        <f>IF(ISNUMBER($E257),ROUND($C257-$E257,2),"")</f>
      </c>
      <c r="G257" s="5">
        <f>IF(ISNUMBER($F257),COUNTIFS($A$2:$A$501,$A257,$F$2:$F$501,"&gt;"&amp;$F257)+1,"")</f>
      </c>
    </row>
    <row r="258">
      <c r="A258" s="6"/>
      <c r="D258" s="5">
        <f>IF(OR($A258="",$B258="",$C258=""),"",COUNTIFS($B$2:$B$501,$B258,$C$2:$C$501,"&lt;&gt;",$A$2:$A$501,"&lt;"&amp;$A258)+COUNTIFS($B$1:$B257,$B258,$C$1:$C257,"&lt;&gt;",$A$1:$A257,$A258)+1)</f>
      </c>
      <c r="E258" s="5">
        <f>IF($D258="","",IF(OR($D258=1,AND(Settings!$B$4="Yes",$D258&lt;=Settings!$B$2)),IF(COUNTIFS(Players!$A$2:$A$101,$B258,Players!$B$2:$B$101,"&lt;&gt;")=0,"Add a starting quota",ROUND(SUMIFS(Players!$B$2:$B$101,Players!$A$2:$A$101,$B258),Settings!$B$3)),ROUND(SUMIFS($C$2:$C$501,$B$2:$B$501,$B258,$D$2:$D$501,"&gt;="&amp;($D258-Settings!$B$2),$D$2:$D$501,"&lt;"&amp;$D258)/COUNTIFS($B$2:$B$501,$B258,$D$2:$D$501,"&gt;="&amp;($D258-Settings!$B$2),$D$2:$D$501,"&lt;"&amp;$D258),Settings!$B$3)))</f>
      </c>
      <c r="F258" s="5">
        <f>IF(ISNUMBER($E258),ROUND($C258-$E258,2),"")</f>
      </c>
      <c r="G258" s="5">
        <f>IF(ISNUMBER($F258),COUNTIFS($A$2:$A$501,$A258,$F$2:$F$501,"&gt;"&amp;$F258)+1,"")</f>
      </c>
    </row>
    <row r="259">
      <c r="A259" s="6"/>
      <c r="D259" s="5">
        <f>IF(OR($A259="",$B259="",$C259=""),"",COUNTIFS($B$2:$B$501,$B259,$C$2:$C$501,"&lt;&gt;",$A$2:$A$501,"&lt;"&amp;$A259)+COUNTIFS($B$1:$B258,$B259,$C$1:$C258,"&lt;&gt;",$A$1:$A258,$A259)+1)</f>
      </c>
      <c r="E259" s="5">
        <f>IF($D259="","",IF(OR($D259=1,AND(Settings!$B$4="Yes",$D259&lt;=Settings!$B$2)),IF(COUNTIFS(Players!$A$2:$A$101,$B259,Players!$B$2:$B$101,"&lt;&gt;")=0,"Add a starting quota",ROUND(SUMIFS(Players!$B$2:$B$101,Players!$A$2:$A$101,$B259),Settings!$B$3)),ROUND(SUMIFS($C$2:$C$501,$B$2:$B$501,$B259,$D$2:$D$501,"&gt;="&amp;($D259-Settings!$B$2),$D$2:$D$501,"&lt;"&amp;$D259)/COUNTIFS($B$2:$B$501,$B259,$D$2:$D$501,"&gt;="&amp;($D259-Settings!$B$2),$D$2:$D$501,"&lt;"&amp;$D259),Settings!$B$3)))</f>
      </c>
      <c r="F259" s="5">
        <f>IF(ISNUMBER($E259),ROUND($C259-$E259,2),"")</f>
      </c>
      <c r="G259" s="5">
        <f>IF(ISNUMBER($F259),COUNTIFS($A$2:$A$501,$A259,$F$2:$F$501,"&gt;"&amp;$F259)+1,"")</f>
      </c>
    </row>
    <row r="260">
      <c r="A260" s="6"/>
      <c r="D260" s="5">
        <f>IF(OR($A260="",$B260="",$C260=""),"",COUNTIFS($B$2:$B$501,$B260,$C$2:$C$501,"&lt;&gt;",$A$2:$A$501,"&lt;"&amp;$A260)+COUNTIFS($B$1:$B259,$B260,$C$1:$C259,"&lt;&gt;",$A$1:$A259,$A260)+1)</f>
      </c>
      <c r="E260" s="5">
        <f>IF($D260="","",IF(OR($D260=1,AND(Settings!$B$4="Yes",$D260&lt;=Settings!$B$2)),IF(COUNTIFS(Players!$A$2:$A$101,$B260,Players!$B$2:$B$101,"&lt;&gt;")=0,"Add a starting quota",ROUND(SUMIFS(Players!$B$2:$B$101,Players!$A$2:$A$101,$B260),Settings!$B$3)),ROUND(SUMIFS($C$2:$C$501,$B$2:$B$501,$B260,$D$2:$D$501,"&gt;="&amp;($D260-Settings!$B$2),$D$2:$D$501,"&lt;"&amp;$D260)/COUNTIFS($B$2:$B$501,$B260,$D$2:$D$501,"&gt;="&amp;($D260-Settings!$B$2),$D$2:$D$501,"&lt;"&amp;$D260),Settings!$B$3)))</f>
      </c>
      <c r="F260" s="5">
        <f>IF(ISNUMBER($E260),ROUND($C260-$E260,2),"")</f>
      </c>
      <c r="G260" s="5">
        <f>IF(ISNUMBER($F260),COUNTIFS($A$2:$A$501,$A260,$F$2:$F$501,"&gt;"&amp;$F260)+1,"")</f>
      </c>
    </row>
    <row r="261">
      <c r="A261" s="6"/>
      <c r="D261" s="5">
        <f>IF(OR($A261="",$B261="",$C261=""),"",COUNTIFS($B$2:$B$501,$B261,$C$2:$C$501,"&lt;&gt;",$A$2:$A$501,"&lt;"&amp;$A261)+COUNTIFS($B$1:$B260,$B261,$C$1:$C260,"&lt;&gt;",$A$1:$A260,$A261)+1)</f>
      </c>
      <c r="E261" s="5">
        <f>IF($D261="","",IF(OR($D261=1,AND(Settings!$B$4="Yes",$D261&lt;=Settings!$B$2)),IF(COUNTIFS(Players!$A$2:$A$101,$B261,Players!$B$2:$B$101,"&lt;&gt;")=0,"Add a starting quota",ROUND(SUMIFS(Players!$B$2:$B$101,Players!$A$2:$A$101,$B261),Settings!$B$3)),ROUND(SUMIFS($C$2:$C$501,$B$2:$B$501,$B261,$D$2:$D$501,"&gt;="&amp;($D261-Settings!$B$2),$D$2:$D$501,"&lt;"&amp;$D261)/COUNTIFS($B$2:$B$501,$B261,$D$2:$D$501,"&gt;="&amp;($D261-Settings!$B$2),$D$2:$D$501,"&lt;"&amp;$D261),Settings!$B$3)))</f>
      </c>
      <c r="F261" s="5">
        <f>IF(ISNUMBER($E261),ROUND($C261-$E261,2),"")</f>
      </c>
      <c r="G261" s="5">
        <f>IF(ISNUMBER($F261),COUNTIFS($A$2:$A$501,$A261,$F$2:$F$501,"&gt;"&amp;$F261)+1,"")</f>
      </c>
    </row>
    <row r="262">
      <c r="A262" s="6"/>
      <c r="D262" s="5">
        <f>IF(OR($A262="",$B262="",$C262=""),"",COUNTIFS($B$2:$B$501,$B262,$C$2:$C$501,"&lt;&gt;",$A$2:$A$501,"&lt;"&amp;$A262)+COUNTIFS($B$1:$B261,$B262,$C$1:$C261,"&lt;&gt;",$A$1:$A261,$A262)+1)</f>
      </c>
      <c r="E262" s="5">
        <f>IF($D262="","",IF(OR($D262=1,AND(Settings!$B$4="Yes",$D262&lt;=Settings!$B$2)),IF(COUNTIFS(Players!$A$2:$A$101,$B262,Players!$B$2:$B$101,"&lt;&gt;")=0,"Add a starting quota",ROUND(SUMIFS(Players!$B$2:$B$101,Players!$A$2:$A$101,$B262),Settings!$B$3)),ROUND(SUMIFS($C$2:$C$501,$B$2:$B$501,$B262,$D$2:$D$501,"&gt;="&amp;($D262-Settings!$B$2),$D$2:$D$501,"&lt;"&amp;$D262)/COUNTIFS($B$2:$B$501,$B262,$D$2:$D$501,"&gt;="&amp;($D262-Settings!$B$2),$D$2:$D$501,"&lt;"&amp;$D262),Settings!$B$3)))</f>
      </c>
      <c r="F262" s="5">
        <f>IF(ISNUMBER($E262),ROUND($C262-$E262,2),"")</f>
      </c>
      <c r="G262" s="5">
        <f>IF(ISNUMBER($F262),COUNTIFS($A$2:$A$501,$A262,$F$2:$F$501,"&gt;"&amp;$F262)+1,"")</f>
      </c>
    </row>
    <row r="263">
      <c r="A263" s="6"/>
      <c r="D263" s="5">
        <f>IF(OR($A263="",$B263="",$C263=""),"",COUNTIFS($B$2:$B$501,$B263,$C$2:$C$501,"&lt;&gt;",$A$2:$A$501,"&lt;"&amp;$A263)+COUNTIFS($B$1:$B262,$B263,$C$1:$C262,"&lt;&gt;",$A$1:$A262,$A263)+1)</f>
      </c>
      <c r="E263" s="5">
        <f>IF($D263="","",IF(OR($D263=1,AND(Settings!$B$4="Yes",$D263&lt;=Settings!$B$2)),IF(COUNTIFS(Players!$A$2:$A$101,$B263,Players!$B$2:$B$101,"&lt;&gt;")=0,"Add a starting quota",ROUND(SUMIFS(Players!$B$2:$B$101,Players!$A$2:$A$101,$B263),Settings!$B$3)),ROUND(SUMIFS($C$2:$C$501,$B$2:$B$501,$B263,$D$2:$D$501,"&gt;="&amp;($D263-Settings!$B$2),$D$2:$D$501,"&lt;"&amp;$D263)/COUNTIFS($B$2:$B$501,$B263,$D$2:$D$501,"&gt;="&amp;($D263-Settings!$B$2),$D$2:$D$501,"&lt;"&amp;$D263),Settings!$B$3)))</f>
      </c>
      <c r="F263" s="5">
        <f>IF(ISNUMBER($E263),ROUND($C263-$E263,2),"")</f>
      </c>
      <c r="G263" s="5">
        <f>IF(ISNUMBER($F263),COUNTIFS($A$2:$A$501,$A263,$F$2:$F$501,"&gt;"&amp;$F263)+1,"")</f>
      </c>
    </row>
    <row r="264">
      <c r="A264" s="6"/>
      <c r="D264" s="5">
        <f>IF(OR($A264="",$B264="",$C264=""),"",COUNTIFS($B$2:$B$501,$B264,$C$2:$C$501,"&lt;&gt;",$A$2:$A$501,"&lt;"&amp;$A264)+COUNTIFS($B$1:$B263,$B264,$C$1:$C263,"&lt;&gt;",$A$1:$A263,$A264)+1)</f>
      </c>
      <c r="E264" s="5">
        <f>IF($D264="","",IF(OR($D264=1,AND(Settings!$B$4="Yes",$D264&lt;=Settings!$B$2)),IF(COUNTIFS(Players!$A$2:$A$101,$B264,Players!$B$2:$B$101,"&lt;&gt;")=0,"Add a starting quota",ROUND(SUMIFS(Players!$B$2:$B$101,Players!$A$2:$A$101,$B264),Settings!$B$3)),ROUND(SUMIFS($C$2:$C$501,$B$2:$B$501,$B264,$D$2:$D$501,"&gt;="&amp;($D264-Settings!$B$2),$D$2:$D$501,"&lt;"&amp;$D264)/COUNTIFS($B$2:$B$501,$B264,$D$2:$D$501,"&gt;="&amp;($D264-Settings!$B$2),$D$2:$D$501,"&lt;"&amp;$D264),Settings!$B$3)))</f>
      </c>
      <c r="F264" s="5">
        <f>IF(ISNUMBER($E264),ROUND($C264-$E264,2),"")</f>
      </c>
      <c r="G264" s="5">
        <f>IF(ISNUMBER($F264),COUNTIFS($A$2:$A$501,$A264,$F$2:$F$501,"&gt;"&amp;$F264)+1,"")</f>
      </c>
    </row>
    <row r="265">
      <c r="A265" s="6"/>
      <c r="D265" s="5">
        <f>IF(OR($A265="",$B265="",$C265=""),"",COUNTIFS($B$2:$B$501,$B265,$C$2:$C$501,"&lt;&gt;",$A$2:$A$501,"&lt;"&amp;$A265)+COUNTIFS($B$1:$B264,$B265,$C$1:$C264,"&lt;&gt;",$A$1:$A264,$A265)+1)</f>
      </c>
      <c r="E265" s="5">
        <f>IF($D265="","",IF(OR($D265=1,AND(Settings!$B$4="Yes",$D265&lt;=Settings!$B$2)),IF(COUNTIFS(Players!$A$2:$A$101,$B265,Players!$B$2:$B$101,"&lt;&gt;")=0,"Add a starting quota",ROUND(SUMIFS(Players!$B$2:$B$101,Players!$A$2:$A$101,$B265),Settings!$B$3)),ROUND(SUMIFS($C$2:$C$501,$B$2:$B$501,$B265,$D$2:$D$501,"&gt;="&amp;($D265-Settings!$B$2),$D$2:$D$501,"&lt;"&amp;$D265)/COUNTIFS($B$2:$B$501,$B265,$D$2:$D$501,"&gt;="&amp;($D265-Settings!$B$2),$D$2:$D$501,"&lt;"&amp;$D265),Settings!$B$3)))</f>
      </c>
      <c r="F265" s="5">
        <f>IF(ISNUMBER($E265),ROUND($C265-$E265,2),"")</f>
      </c>
      <c r="G265" s="5">
        <f>IF(ISNUMBER($F265),COUNTIFS($A$2:$A$501,$A265,$F$2:$F$501,"&gt;"&amp;$F265)+1,"")</f>
      </c>
    </row>
    <row r="266">
      <c r="A266" s="6"/>
      <c r="D266" s="5">
        <f>IF(OR($A266="",$B266="",$C266=""),"",COUNTIFS($B$2:$B$501,$B266,$C$2:$C$501,"&lt;&gt;",$A$2:$A$501,"&lt;"&amp;$A266)+COUNTIFS($B$1:$B265,$B266,$C$1:$C265,"&lt;&gt;",$A$1:$A265,$A266)+1)</f>
      </c>
      <c r="E266" s="5">
        <f>IF($D266="","",IF(OR($D266=1,AND(Settings!$B$4="Yes",$D266&lt;=Settings!$B$2)),IF(COUNTIFS(Players!$A$2:$A$101,$B266,Players!$B$2:$B$101,"&lt;&gt;")=0,"Add a starting quota",ROUND(SUMIFS(Players!$B$2:$B$101,Players!$A$2:$A$101,$B266),Settings!$B$3)),ROUND(SUMIFS($C$2:$C$501,$B$2:$B$501,$B266,$D$2:$D$501,"&gt;="&amp;($D266-Settings!$B$2),$D$2:$D$501,"&lt;"&amp;$D266)/COUNTIFS($B$2:$B$501,$B266,$D$2:$D$501,"&gt;="&amp;($D266-Settings!$B$2),$D$2:$D$501,"&lt;"&amp;$D266),Settings!$B$3)))</f>
      </c>
      <c r="F266" s="5">
        <f>IF(ISNUMBER($E266),ROUND($C266-$E266,2),"")</f>
      </c>
      <c r="G266" s="5">
        <f>IF(ISNUMBER($F266),COUNTIFS($A$2:$A$501,$A266,$F$2:$F$501,"&gt;"&amp;$F266)+1,"")</f>
      </c>
    </row>
    <row r="267">
      <c r="A267" s="6"/>
      <c r="D267" s="5">
        <f>IF(OR($A267="",$B267="",$C267=""),"",COUNTIFS($B$2:$B$501,$B267,$C$2:$C$501,"&lt;&gt;",$A$2:$A$501,"&lt;"&amp;$A267)+COUNTIFS($B$1:$B266,$B267,$C$1:$C266,"&lt;&gt;",$A$1:$A266,$A267)+1)</f>
      </c>
      <c r="E267" s="5">
        <f>IF($D267="","",IF(OR($D267=1,AND(Settings!$B$4="Yes",$D267&lt;=Settings!$B$2)),IF(COUNTIFS(Players!$A$2:$A$101,$B267,Players!$B$2:$B$101,"&lt;&gt;")=0,"Add a starting quota",ROUND(SUMIFS(Players!$B$2:$B$101,Players!$A$2:$A$101,$B267),Settings!$B$3)),ROUND(SUMIFS($C$2:$C$501,$B$2:$B$501,$B267,$D$2:$D$501,"&gt;="&amp;($D267-Settings!$B$2),$D$2:$D$501,"&lt;"&amp;$D267)/COUNTIFS($B$2:$B$501,$B267,$D$2:$D$501,"&gt;="&amp;($D267-Settings!$B$2),$D$2:$D$501,"&lt;"&amp;$D267),Settings!$B$3)))</f>
      </c>
      <c r="F267" s="5">
        <f>IF(ISNUMBER($E267),ROUND($C267-$E267,2),"")</f>
      </c>
      <c r="G267" s="5">
        <f>IF(ISNUMBER($F267),COUNTIFS($A$2:$A$501,$A267,$F$2:$F$501,"&gt;"&amp;$F267)+1,"")</f>
      </c>
    </row>
    <row r="268">
      <c r="A268" s="6"/>
      <c r="D268" s="5">
        <f>IF(OR($A268="",$B268="",$C268=""),"",COUNTIFS($B$2:$B$501,$B268,$C$2:$C$501,"&lt;&gt;",$A$2:$A$501,"&lt;"&amp;$A268)+COUNTIFS($B$1:$B267,$B268,$C$1:$C267,"&lt;&gt;",$A$1:$A267,$A268)+1)</f>
      </c>
      <c r="E268" s="5">
        <f>IF($D268="","",IF(OR($D268=1,AND(Settings!$B$4="Yes",$D268&lt;=Settings!$B$2)),IF(COUNTIFS(Players!$A$2:$A$101,$B268,Players!$B$2:$B$101,"&lt;&gt;")=0,"Add a starting quota",ROUND(SUMIFS(Players!$B$2:$B$101,Players!$A$2:$A$101,$B268),Settings!$B$3)),ROUND(SUMIFS($C$2:$C$501,$B$2:$B$501,$B268,$D$2:$D$501,"&gt;="&amp;($D268-Settings!$B$2),$D$2:$D$501,"&lt;"&amp;$D268)/COUNTIFS($B$2:$B$501,$B268,$D$2:$D$501,"&gt;="&amp;($D268-Settings!$B$2),$D$2:$D$501,"&lt;"&amp;$D268),Settings!$B$3)))</f>
      </c>
      <c r="F268" s="5">
        <f>IF(ISNUMBER($E268),ROUND($C268-$E268,2),"")</f>
      </c>
      <c r="G268" s="5">
        <f>IF(ISNUMBER($F268),COUNTIFS($A$2:$A$501,$A268,$F$2:$F$501,"&gt;"&amp;$F268)+1,"")</f>
      </c>
    </row>
    <row r="269">
      <c r="A269" s="6"/>
      <c r="D269" s="5">
        <f>IF(OR($A269="",$B269="",$C269=""),"",COUNTIFS($B$2:$B$501,$B269,$C$2:$C$501,"&lt;&gt;",$A$2:$A$501,"&lt;"&amp;$A269)+COUNTIFS($B$1:$B268,$B269,$C$1:$C268,"&lt;&gt;",$A$1:$A268,$A269)+1)</f>
      </c>
      <c r="E269" s="5">
        <f>IF($D269="","",IF(OR($D269=1,AND(Settings!$B$4="Yes",$D269&lt;=Settings!$B$2)),IF(COUNTIFS(Players!$A$2:$A$101,$B269,Players!$B$2:$B$101,"&lt;&gt;")=0,"Add a starting quota",ROUND(SUMIFS(Players!$B$2:$B$101,Players!$A$2:$A$101,$B269),Settings!$B$3)),ROUND(SUMIFS($C$2:$C$501,$B$2:$B$501,$B269,$D$2:$D$501,"&gt;="&amp;($D269-Settings!$B$2),$D$2:$D$501,"&lt;"&amp;$D269)/COUNTIFS($B$2:$B$501,$B269,$D$2:$D$501,"&gt;="&amp;($D269-Settings!$B$2),$D$2:$D$501,"&lt;"&amp;$D269),Settings!$B$3)))</f>
      </c>
      <c r="F269" s="5">
        <f>IF(ISNUMBER($E269),ROUND($C269-$E269,2),"")</f>
      </c>
      <c r="G269" s="5">
        <f>IF(ISNUMBER($F269),COUNTIFS($A$2:$A$501,$A269,$F$2:$F$501,"&gt;"&amp;$F269)+1,"")</f>
      </c>
    </row>
    <row r="270">
      <c r="A270" s="6"/>
      <c r="D270" s="5">
        <f>IF(OR($A270="",$B270="",$C270=""),"",COUNTIFS($B$2:$B$501,$B270,$C$2:$C$501,"&lt;&gt;",$A$2:$A$501,"&lt;"&amp;$A270)+COUNTIFS($B$1:$B269,$B270,$C$1:$C269,"&lt;&gt;",$A$1:$A269,$A270)+1)</f>
      </c>
      <c r="E270" s="5">
        <f>IF($D270="","",IF(OR($D270=1,AND(Settings!$B$4="Yes",$D270&lt;=Settings!$B$2)),IF(COUNTIFS(Players!$A$2:$A$101,$B270,Players!$B$2:$B$101,"&lt;&gt;")=0,"Add a starting quota",ROUND(SUMIFS(Players!$B$2:$B$101,Players!$A$2:$A$101,$B270),Settings!$B$3)),ROUND(SUMIFS($C$2:$C$501,$B$2:$B$501,$B270,$D$2:$D$501,"&gt;="&amp;($D270-Settings!$B$2),$D$2:$D$501,"&lt;"&amp;$D270)/COUNTIFS($B$2:$B$501,$B270,$D$2:$D$501,"&gt;="&amp;($D270-Settings!$B$2),$D$2:$D$501,"&lt;"&amp;$D270),Settings!$B$3)))</f>
      </c>
      <c r="F270" s="5">
        <f>IF(ISNUMBER($E270),ROUND($C270-$E270,2),"")</f>
      </c>
      <c r="G270" s="5">
        <f>IF(ISNUMBER($F270),COUNTIFS($A$2:$A$501,$A270,$F$2:$F$501,"&gt;"&amp;$F270)+1,"")</f>
      </c>
    </row>
    <row r="271">
      <c r="A271" s="6"/>
      <c r="D271" s="5">
        <f>IF(OR($A271="",$B271="",$C271=""),"",COUNTIFS($B$2:$B$501,$B271,$C$2:$C$501,"&lt;&gt;",$A$2:$A$501,"&lt;"&amp;$A271)+COUNTIFS($B$1:$B270,$B271,$C$1:$C270,"&lt;&gt;",$A$1:$A270,$A271)+1)</f>
      </c>
      <c r="E271" s="5">
        <f>IF($D271="","",IF(OR($D271=1,AND(Settings!$B$4="Yes",$D271&lt;=Settings!$B$2)),IF(COUNTIFS(Players!$A$2:$A$101,$B271,Players!$B$2:$B$101,"&lt;&gt;")=0,"Add a starting quota",ROUND(SUMIFS(Players!$B$2:$B$101,Players!$A$2:$A$101,$B271),Settings!$B$3)),ROUND(SUMIFS($C$2:$C$501,$B$2:$B$501,$B271,$D$2:$D$501,"&gt;="&amp;($D271-Settings!$B$2),$D$2:$D$501,"&lt;"&amp;$D271)/COUNTIFS($B$2:$B$501,$B271,$D$2:$D$501,"&gt;="&amp;($D271-Settings!$B$2),$D$2:$D$501,"&lt;"&amp;$D271),Settings!$B$3)))</f>
      </c>
      <c r="F271" s="5">
        <f>IF(ISNUMBER($E271),ROUND($C271-$E271,2),"")</f>
      </c>
      <c r="G271" s="5">
        <f>IF(ISNUMBER($F271),COUNTIFS($A$2:$A$501,$A271,$F$2:$F$501,"&gt;"&amp;$F271)+1,"")</f>
      </c>
    </row>
    <row r="272">
      <c r="A272" s="6"/>
      <c r="D272" s="5">
        <f>IF(OR($A272="",$B272="",$C272=""),"",COUNTIFS($B$2:$B$501,$B272,$C$2:$C$501,"&lt;&gt;",$A$2:$A$501,"&lt;"&amp;$A272)+COUNTIFS($B$1:$B271,$B272,$C$1:$C271,"&lt;&gt;",$A$1:$A271,$A272)+1)</f>
      </c>
      <c r="E272" s="5">
        <f>IF($D272="","",IF(OR($D272=1,AND(Settings!$B$4="Yes",$D272&lt;=Settings!$B$2)),IF(COUNTIFS(Players!$A$2:$A$101,$B272,Players!$B$2:$B$101,"&lt;&gt;")=0,"Add a starting quota",ROUND(SUMIFS(Players!$B$2:$B$101,Players!$A$2:$A$101,$B272),Settings!$B$3)),ROUND(SUMIFS($C$2:$C$501,$B$2:$B$501,$B272,$D$2:$D$501,"&gt;="&amp;($D272-Settings!$B$2),$D$2:$D$501,"&lt;"&amp;$D272)/COUNTIFS($B$2:$B$501,$B272,$D$2:$D$501,"&gt;="&amp;($D272-Settings!$B$2),$D$2:$D$501,"&lt;"&amp;$D272),Settings!$B$3)))</f>
      </c>
      <c r="F272" s="5">
        <f>IF(ISNUMBER($E272),ROUND($C272-$E272,2),"")</f>
      </c>
      <c r="G272" s="5">
        <f>IF(ISNUMBER($F272),COUNTIFS($A$2:$A$501,$A272,$F$2:$F$501,"&gt;"&amp;$F272)+1,"")</f>
      </c>
    </row>
    <row r="273">
      <c r="A273" s="6"/>
      <c r="D273" s="5">
        <f>IF(OR($A273="",$B273="",$C273=""),"",COUNTIFS($B$2:$B$501,$B273,$C$2:$C$501,"&lt;&gt;",$A$2:$A$501,"&lt;"&amp;$A273)+COUNTIFS($B$1:$B272,$B273,$C$1:$C272,"&lt;&gt;",$A$1:$A272,$A273)+1)</f>
      </c>
      <c r="E273" s="5">
        <f>IF($D273="","",IF(OR($D273=1,AND(Settings!$B$4="Yes",$D273&lt;=Settings!$B$2)),IF(COUNTIFS(Players!$A$2:$A$101,$B273,Players!$B$2:$B$101,"&lt;&gt;")=0,"Add a starting quota",ROUND(SUMIFS(Players!$B$2:$B$101,Players!$A$2:$A$101,$B273),Settings!$B$3)),ROUND(SUMIFS($C$2:$C$501,$B$2:$B$501,$B273,$D$2:$D$501,"&gt;="&amp;($D273-Settings!$B$2),$D$2:$D$501,"&lt;"&amp;$D273)/COUNTIFS($B$2:$B$501,$B273,$D$2:$D$501,"&gt;="&amp;($D273-Settings!$B$2),$D$2:$D$501,"&lt;"&amp;$D273),Settings!$B$3)))</f>
      </c>
      <c r="F273" s="5">
        <f>IF(ISNUMBER($E273),ROUND($C273-$E273,2),"")</f>
      </c>
      <c r="G273" s="5">
        <f>IF(ISNUMBER($F273),COUNTIFS($A$2:$A$501,$A273,$F$2:$F$501,"&gt;"&amp;$F273)+1,"")</f>
      </c>
    </row>
    <row r="274">
      <c r="A274" s="6"/>
      <c r="D274" s="5">
        <f>IF(OR($A274="",$B274="",$C274=""),"",COUNTIFS($B$2:$B$501,$B274,$C$2:$C$501,"&lt;&gt;",$A$2:$A$501,"&lt;"&amp;$A274)+COUNTIFS($B$1:$B273,$B274,$C$1:$C273,"&lt;&gt;",$A$1:$A273,$A274)+1)</f>
      </c>
      <c r="E274" s="5">
        <f>IF($D274="","",IF(OR($D274=1,AND(Settings!$B$4="Yes",$D274&lt;=Settings!$B$2)),IF(COUNTIFS(Players!$A$2:$A$101,$B274,Players!$B$2:$B$101,"&lt;&gt;")=0,"Add a starting quota",ROUND(SUMIFS(Players!$B$2:$B$101,Players!$A$2:$A$101,$B274),Settings!$B$3)),ROUND(SUMIFS($C$2:$C$501,$B$2:$B$501,$B274,$D$2:$D$501,"&gt;="&amp;($D274-Settings!$B$2),$D$2:$D$501,"&lt;"&amp;$D274)/COUNTIFS($B$2:$B$501,$B274,$D$2:$D$501,"&gt;="&amp;($D274-Settings!$B$2),$D$2:$D$501,"&lt;"&amp;$D274),Settings!$B$3)))</f>
      </c>
      <c r="F274" s="5">
        <f>IF(ISNUMBER($E274),ROUND($C274-$E274,2),"")</f>
      </c>
      <c r="G274" s="5">
        <f>IF(ISNUMBER($F274),COUNTIFS($A$2:$A$501,$A274,$F$2:$F$501,"&gt;"&amp;$F274)+1,"")</f>
      </c>
    </row>
    <row r="275">
      <c r="A275" s="6"/>
      <c r="D275" s="5">
        <f>IF(OR($A275="",$B275="",$C275=""),"",COUNTIFS($B$2:$B$501,$B275,$C$2:$C$501,"&lt;&gt;",$A$2:$A$501,"&lt;"&amp;$A275)+COUNTIFS($B$1:$B274,$B275,$C$1:$C274,"&lt;&gt;",$A$1:$A274,$A275)+1)</f>
      </c>
      <c r="E275" s="5">
        <f>IF($D275="","",IF(OR($D275=1,AND(Settings!$B$4="Yes",$D275&lt;=Settings!$B$2)),IF(COUNTIFS(Players!$A$2:$A$101,$B275,Players!$B$2:$B$101,"&lt;&gt;")=0,"Add a starting quota",ROUND(SUMIFS(Players!$B$2:$B$101,Players!$A$2:$A$101,$B275),Settings!$B$3)),ROUND(SUMIFS($C$2:$C$501,$B$2:$B$501,$B275,$D$2:$D$501,"&gt;="&amp;($D275-Settings!$B$2),$D$2:$D$501,"&lt;"&amp;$D275)/COUNTIFS($B$2:$B$501,$B275,$D$2:$D$501,"&gt;="&amp;($D275-Settings!$B$2),$D$2:$D$501,"&lt;"&amp;$D275),Settings!$B$3)))</f>
      </c>
      <c r="F275" s="5">
        <f>IF(ISNUMBER($E275),ROUND($C275-$E275,2),"")</f>
      </c>
      <c r="G275" s="5">
        <f>IF(ISNUMBER($F275),COUNTIFS($A$2:$A$501,$A275,$F$2:$F$501,"&gt;"&amp;$F275)+1,"")</f>
      </c>
    </row>
    <row r="276">
      <c r="A276" s="6"/>
      <c r="D276" s="5">
        <f>IF(OR($A276="",$B276="",$C276=""),"",COUNTIFS($B$2:$B$501,$B276,$C$2:$C$501,"&lt;&gt;",$A$2:$A$501,"&lt;"&amp;$A276)+COUNTIFS($B$1:$B275,$B276,$C$1:$C275,"&lt;&gt;",$A$1:$A275,$A276)+1)</f>
      </c>
      <c r="E276" s="5">
        <f>IF($D276="","",IF(OR($D276=1,AND(Settings!$B$4="Yes",$D276&lt;=Settings!$B$2)),IF(COUNTIFS(Players!$A$2:$A$101,$B276,Players!$B$2:$B$101,"&lt;&gt;")=0,"Add a starting quota",ROUND(SUMIFS(Players!$B$2:$B$101,Players!$A$2:$A$101,$B276),Settings!$B$3)),ROUND(SUMIFS($C$2:$C$501,$B$2:$B$501,$B276,$D$2:$D$501,"&gt;="&amp;($D276-Settings!$B$2),$D$2:$D$501,"&lt;"&amp;$D276)/COUNTIFS($B$2:$B$501,$B276,$D$2:$D$501,"&gt;="&amp;($D276-Settings!$B$2),$D$2:$D$501,"&lt;"&amp;$D276),Settings!$B$3)))</f>
      </c>
      <c r="F276" s="5">
        <f>IF(ISNUMBER($E276),ROUND($C276-$E276,2),"")</f>
      </c>
      <c r="G276" s="5">
        <f>IF(ISNUMBER($F276),COUNTIFS($A$2:$A$501,$A276,$F$2:$F$501,"&gt;"&amp;$F276)+1,"")</f>
      </c>
    </row>
    <row r="277">
      <c r="A277" s="6"/>
      <c r="D277" s="5">
        <f>IF(OR($A277="",$B277="",$C277=""),"",COUNTIFS($B$2:$B$501,$B277,$C$2:$C$501,"&lt;&gt;",$A$2:$A$501,"&lt;"&amp;$A277)+COUNTIFS($B$1:$B276,$B277,$C$1:$C276,"&lt;&gt;",$A$1:$A276,$A277)+1)</f>
      </c>
      <c r="E277" s="5">
        <f>IF($D277="","",IF(OR($D277=1,AND(Settings!$B$4="Yes",$D277&lt;=Settings!$B$2)),IF(COUNTIFS(Players!$A$2:$A$101,$B277,Players!$B$2:$B$101,"&lt;&gt;")=0,"Add a starting quota",ROUND(SUMIFS(Players!$B$2:$B$101,Players!$A$2:$A$101,$B277),Settings!$B$3)),ROUND(SUMIFS($C$2:$C$501,$B$2:$B$501,$B277,$D$2:$D$501,"&gt;="&amp;($D277-Settings!$B$2),$D$2:$D$501,"&lt;"&amp;$D277)/COUNTIFS($B$2:$B$501,$B277,$D$2:$D$501,"&gt;="&amp;($D277-Settings!$B$2),$D$2:$D$501,"&lt;"&amp;$D277),Settings!$B$3)))</f>
      </c>
      <c r="F277" s="5">
        <f>IF(ISNUMBER($E277),ROUND($C277-$E277,2),"")</f>
      </c>
      <c r="G277" s="5">
        <f>IF(ISNUMBER($F277),COUNTIFS($A$2:$A$501,$A277,$F$2:$F$501,"&gt;"&amp;$F277)+1,"")</f>
      </c>
    </row>
    <row r="278">
      <c r="A278" s="6"/>
      <c r="D278" s="5">
        <f>IF(OR($A278="",$B278="",$C278=""),"",COUNTIFS($B$2:$B$501,$B278,$C$2:$C$501,"&lt;&gt;",$A$2:$A$501,"&lt;"&amp;$A278)+COUNTIFS($B$1:$B277,$B278,$C$1:$C277,"&lt;&gt;",$A$1:$A277,$A278)+1)</f>
      </c>
      <c r="E278" s="5">
        <f>IF($D278="","",IF(OR($D278=1,AND(Settings!$B$4="Yes",$D278&lt;=Settings!$B$2)),IF(COUNTIFS(Players!$A$2:$A$101,$B278,Players!$B$2:$B$101,"&lt;&gt;")=0,"Add a starting quota",ROUND(SUMIFS(Players!$B$2:$B$101,Players!$A$2:$A$101,$B278),Settings!$B$3)),ROUND(SUMIFS($C$2:$C$501,$B$2:$B$501,$B278,$D$2:$D$501,"&gt;="&amp;($D278-Settings!$B$2),$D$2:$D$501,"&lt;"&amp;$D278)/COUNTIFS($B$2:$B$501,$B278,$D$2:$D$501,"&gt;="&amp;($D278-Settings!$B$2),$D$2:$D$501,"&lt;"&amp;$D278),Settings!$B$3)))</f>
      </c>
      <c r="F278" s="5">
        <f>IF(ISNUMBER($E278),ROUND($C278-$E278,2),"")</f>
      </c>
      <c r="G278" s="5">
        <f>IF(ISNUMBER($F278),COUNTIFS($A$2:$A$501,$A278,$F$2:$F$501,"&gt;"&amp;$F278)+1,"")</f>
      </c>
    </row>
    <row r="279">
      <c r="A279" s="6"/>
      <c r="D279" s="5">
        <f>IF(OR($A279="",$B279="",$C279=""),"",COUNTIFS($B$2:$B$501,$B279,$C$2:$C$501,"&lt;&gt;",$A$2:$A$501,"&lt;"&amp;$A279)+COUNTIFS($B$1:$B278,$B279,$C$1:$C278,"&lt;&gt;",$A$1:$A278,$A279)+1)</f>
      </c>
      <c r="E279" s="5">
        <f>IF($D279="","",IF(OR($D279=1,AND(Settings!$B$4="Yes",$D279&lt;=Settings!$B$2)),IF(COUNTIFS(Players!$A$2:$A$101,$B279,Players!$B$2:$B$101,"&lt;&gt;")=0,"Add a starting quota",ROUND(SUMIFS(Players!$B$2:$B$101,Players!$A$2:$A$101,$B279),Settings!$B$3)),ROUND(SUMIFS($C$2:$C$501,$B$2:$B$501,$B279,$D$2:$D$501,"&gt;="&amp;($D279-Settings!$B$2),$D$2:$D$501,"&lt;"&amp;$D279)/COUNTIFS($B$2:$B$501,$B279,$D$2:$D$501,"&gt;="&amp;($D279-Settings!$B$2),$D$2:$D$501,"&lt;"&amp;$D279),Settings!$B$3)))</f>
      </c>
      <c r="F279" s="5">
        <f>IF(ISNUMBER($E279),ROUND($C279-$E279,2),"")</f>
      </c>
      <c r="G279" s="5">
        <f>IF(ISNUMBER($F279),COUNTIFS($A$2:$A$501,$A279,$F$2:$F$501,"&gt;"&amp;$F279)+1,"")</f>
      </c>
    </row>
    <row r="280">
      <c r="A280" s="6"/>
      <c r="D280" s="5">
        <f>IF(OR($A280="",$B280="",$C280=""),"",COUNTIFS($B$2:$B$501,$B280,$C$2:$C$501,"&lt;&gt;",$A$2:$A$501,"&lt;"&amp;$A280)+COUNTIFS($B$1:$B279,$B280,$C$1:$C279,"&lt;&gt;",$A$1:$A279,$A280)+1)</f>
      </c>
      <c r="E280" s="5">
        <f>IF($D280="","",IF(OR($D280=1,AND(Settings!$B$4="Yes",$D280&lt;=Settings!$B$2)),IF(COUNTIFS(Players!$A$2:$A$101,$B280,Players!$B$2:$B$101,"&lt;&gt;")=0,"Add a starting quota",ROUND(SUMIFS(Players!$B$2:$B$101,Players!$A$2:$A$101,$B280),Settings!$B$3)),ROUND(SUMIFS($C$2:$C$501,$B$2:$B$501,$B280,$D$2:$D$501,"&gt;="&amp;($D280-Settings!$B$2),$D$2:$D$501,"&lt;"&amp;$D280)/COUNTIFS($B$2:$B$501,$B280,$D$2:$D$501,"&gt;="&amp;($D280-Settings!$B$2),$D$2:$D$501,"&lt;"&amp;$D280),Settings!$B$3)))</f>
      </c>
      <c r="F280" s="5">
        <f>IF(ISNUMBER($E280),ROUND($C280-$E280,2),"")</f>
      </c>
      <c r="G280" s="5">
        <f>IF(ISNUMBER($F280),COUNTIFS($A$2:$A$501,$A280,$F$2:$F$501,"&gt;"&amp;$F280)+1,"")</f>
      </c>
    </row>
    <row r="281">
      <c r="A281" s="6"/>
      <c r="D281" s="5">
        <f>IF(OR($A281="",$B281="",$C281=""),"",COUNTIFS($B$2:$B$501,$B281,$C$2:$C$501,"&lt;&gt;",$A$2:$A$501,"&lt;"&amp;$A281)+COUNTIFS($B$1:$B280,$B281,$C$1:$C280,"&lt;&gt;",$A$1:$A280,$A281)+1)</f>
      </c>
      <c r="E281" s="5">
        <f>IF($D281="","",IF(OR($D281=1,AND(Settings!$B$4="Yes",$D281&lt;=Settings!$B$2)),IF(COUNTIFS(Players!$A$2:$A$101,$B281,Players!$B$2:$B$101,"&lt;&gt;")=0,"Add a starting quota",ROUND(SUMIFS(Players!$B$2:$B$101,Players!$A$2:$A$101,$B281),Settings!$B$3)),ROUND(SUMIFS($C$2:$C$501,$B$2:$B$501,$B281,$D$2:$D$501,"&gt;="&amp;($D281-Settings!$B$2),$D$2:$D$501,"&lt;"&amp;$D281)/COUNTIFS($B$2:$B$501,$B281,$D$2:$D$501,"&gt;="&amp;($D281-Settings!$B$2),$D$2:$D$501,"&lt;"&amp;$D281),Settings!$B$3)))</f>
      </c>
      <c r="F281" s="5">
        <f>IF(ISNUMBER($E281),ROUND($C281-$E281,2),"")</f>
      </c>
      <c r="G281" s="5">
        <f>IF(ISNUMBER($F281),COUNTIFS($A$2:$A$501,$A281,$F$2:$F$501,"&gt;"&amp;$F281)+1,"")</f>
      </c>
    </row>
    <row r="282">
      <c r="A282" s="6"/>
      <c r="D282" s="5">
        <f>IF(OR($A282="",$B282="",$C282=""),"",COUNTIFS($B$2:$B$501,$B282,$C$2:$C$501,"&lt;&gt;",$A$2:$A$501,"&lt;"&amp;$A282)+COUNTIFS($B$1:$B281,$B282,$C$1:$C281,"&lt;&gt;",$A$1:$A281,$A282)+1)</f>
      </c>
      <c r="E282" s="5">
        <f>IF($D282="","",IF(OR($D282=1,AND(Settings!$B$4="Yes",$D282&lt;=Settings!$B$2)),IF(COUNTIFS(Players!$A$2:$A$101,$B282,Players!$B$2:$B$101,"&lt;&gt;")=0,"Add a starting quota",ROUND(SUMIFS(Players!$B$2:$B$101,Players!$A$2:$A$101,$B282),Settings!$B$3)),ROUND(SUMIFS($C$2:$C$501,$B$2:$B$501,$B282,$D$2:$D$501,"&gt;="&amp;($D282-Settings!$B$2),$D$2:$D$501,"&lt;"&amp;$D282)/COUNTIFS($B$2:$B$501,$B282,$D$2:$D$501,"&gt;="&amp;($D282-Settings!$B$2),$D$2:$D$501,"&lt;"&amp;$D282),Settings!$B$3)))</f>
      </c>
      <c r="F282" s="5">
        <f>IF(ISNUMBER($E282),ROUND($C282-$E282,2),"")</f>
      </c>
      <c r="G282" s="5">
        <f>IF(ISNUMBER($F282),COUNTIFS($A$2:$A$501,$A282,$F$2:$F$501,"&gt;"&amp;$F282)+1,"")</f>
      </c>
    </row>
    <row r="283">
      <c r="A283" s="6"/>
      <c r="D283" s="5">
        <f>IF(OR($A283="",$B283="",$C283=""),"",COUNTIFS($B$2:$B$501,$B283,$C$2:$C$501,"&lt;&gt;",$A$2:$A$501,"&lt;"&amp;$A283)+COUNTIFS($B$1:$B282,$B283,$C$1:$C282,"&lt;&gt;",$A$1:$A282,$A283)+1)</f>
      </c>
      <c r="E283" s="5">
        <f>IF($D283="","",IF(OR($D283=1,AND(Settings!$B$4="Yes",$D283&lt;=Settings!$B$2)),IF(COUNTIFS(Players!$A$2:$A$101,$B283,Players!$B$2:$B$101,"&lt;&gt;")=0,"Add a starting quota",ROUND(SUMIFS(Players!$B$2:$B$101,Players!$A$2:$A$101,$B283),Settings!$B$3)),ROUND(SUMIFS($C$2:$C$501,$B$2:$B$501,$B283,$D$2:$D$501,"&gt;="&amp;($D283-Settings!$B$2),$D$2:$D$501,"&lt;"&amp;$D283)/COUNTIFS($B$2:$B$501,$B283,$D$2:$D$501,"&gt;="&amp;($D283-Settings!$B$2),$D$2:$D$501,"&lt;"&amp;$D283),Settings!$B$3)))</f>
      </c>
      <c r="F283" s="5">
        <f>IF(ISNUMBER($E283),ROUND($C283-$E283,2),"")</f>
      </c>
      <c r="G283" s="5">
        <f>IF(ISNUMBER($F283),COUNTIFS($A$2:$A$501,$A283,$F$2:$F$501,"&gt;"&amp;$F283)+1,"")</f>
      </c>
    </row>
    <row r="284">
      <c r="A284" s="6"/>
      <c r="D284" s="5">
        <f>IF(OR($A284="",$B284="",$C284=""),"",COUNTIFS($B$2:$B$501,$B284,$C$2:$C$501,"&lt;&gt;",$A$2:$A$501,"&lt;"&amp;$A284)+COUNTIFS($B$1:$B283,$B284,$C$1:$C283,"&lt;&gt;",$A$1:$A283,$A284)+1)</f>
      </c>
      <c r="E284" s="5">
        <f>IF($D284="","",IF(OR($D284=1,AND(Settings!$B$4="Yes",$D284&lt;=Settings!$B$2)),IF(COUNTIFS(Players!$A$2:$A$101,$B284,Players!$B$2:$B$101,"&lt;&gt;")=0,"Add a starting quota",ROUND(SUMIFS(Players!$B$2:$B$101,Players!$A$2:$A$101,$B284),Settings!$B$3)),ROUND(SUMIFS($C$2:$C$501,$B$2:$B$501,$B284,$D$2:$D$501,"&gt;="&amp;($D284-Settings!$B$2),$D$2:$D$501,"&lt;"&amp;$D284)/COUNTIFS($B$2:$B$501,$B284,$D$2:$D$501,"&gt;="&amp;($D284-Settings!$B$2),$D$2:$D$501,"&lt;"&amp;$D284),Settings!$B$3)))</f>
      </c>
      <c r="F284" s="5">
        <f>IF(ISNUMBER($E284),ROUND($C284-$E284,2),"")</f>
      </c>
      <c r="G284" s="5">
        <f>IF(ISNUMBER($F284),COUNTIFS($A$2:$A$501,$A284,$F$2:$F$501,"&gt;"&amp;$F284)+1,"")</f>
      </c>
    </row>
    <row r="285">
      <c r="A285" s="6"/>
      <c r="D285" s="5">
        <f>IF(OR($A285="",$B285="",$C285=""),"",COUNTIFS($B$2:$B$501,$B285,$C$2:$C$501,"&lt;&gt;",$A$2:$A$501,"&lt;"&amp;$A285)+COUNTIFS($B$1:$B284,$B285,$C$1:$C284,"&lt;&gt;",$A$1:$A284,$A285)+1)</f>
      </c>
      <c r="E285" s="5">
        <f>IF($D285="","",IF(OR($D285=1,AND(Settings!$B$4="Yes",$D285&lt;=Settings!$B$2)),IF(COUNTIFS(Players!$A$2:$A$101,$B285,Players!$B$2:$B$101,"&lt;&gt;")=0,"Add a starting quota",ROUND(SUMIFS(Players!$B$2:$B$101,Players!$A$2:$A$101,$B285),Settings!$B$3)),ROUND(SUMIFS($C$2:$C$501,$B$2:$B$501,$B285,$D$2:$D$501,"&gt;="&amp;($D285-Settings!$B$2),$D$2:$D$501,"&lt;"&amp;$D285)/COUNTIFS($B$2:$B$501,$B285,$D$2:$D$501,"&gt;="&amp;($D285-Settings!$B$2),$D$2:$D$501,"&lt;"&amp;$D285),Settings!$B$3)))</f>
      </c>
      <c r="F285" s="5">
        <f>IF(ISNUMBER($E285),ROUND($C285-$E285,2),"")</f>
      </c>
      <c r="G285" s="5">
        <f>IF(ISNUMBER($F285),COUNTIFS($A$2:$A$501,$A285,$F$2:$F$501,"&gt;"&amp;$F285)+1,"")</f>
      </c>
    </row>
    <row r="286">
      <c r="A286" s="6"/>
      <c r="D286" s="5">
        <f>IF(OR($A286="",$B286="",$C286=""),"",COUNTIFS($B$2:$B$501,$B286,$C$2:$C$501,"&lt;&gt;",$A$2:$A$501,"&lt;"&amp;$A286)+COUNTIFS($B$1:$B285,$B286,$C$1:$C285,"&lt;&gt;",$A$1:$A285,$A286)+1)</f>
      </c>
      <c r="E286" s="5">
        <f>IF($D286="","",IF(OR($D286=1,AND(Settings!$B$4="Yes",$D286&lt;=Settings!$B$2)),IF(COUNTIFS(Players!$A$2:$A$101,$B286,Players!$B$2:$B$101,"&lt;&gt;")=0,"Add a starting quota",ROUND(SUMIFS(Players!$B$2:$B$101,Players!$A$2:$A$101,$B286),Settings!$B$3)),ROUND(SUMIFS($C$2:$C$501,$B$2:$B$501,$B286,$D$2:$D$501,"&gt;="&amp;($D286-Settings!$B$2),$D$2:$D$501,"&lt;"&amp;$D286)/COUNTIFS($B$2:$B$501,$B286,$D$2:$D$501,"&gt;="&amp;($D286-Settings!$B$2),$D$2:$D$501,"&lt;"&amp;$D286),Settings!$B$3)))</f>
      </c>
      <c r="F286" s="5">
        <f>IF(ISNUMBER($E286),ROUND($C286-$E286,2),"")</f>
      </c>
      <c r="G286" s="5">
        <f>IF(ISNUMBER($F286),COUNTIFS($A$2:$A$501,$A286,$F$2:$F$501,"&gt;"&amp;$F286)+1,"")</f>
      </c>
    </row>
    <row r="287">
      <c r="A287" s="6"/>
      <c r="D287" s="5">
        <f>IF(OR($A287="",$B287="",$C287=""),"",COUNTIFS($B$2:$B$501,$B287,$C$2:$C$501,"&lt;&gt;",$A$2:$A$501,"&lt;"&amp;$A287)+COUNTIFS($B$1:$B286,$B287,$C$1:$C286,"&lt;&gt;",$A$1:$A286,$A287)+1)</f>
      </c>
      <c r="E287" s="5">
        <f>IF($D287="","",IF(OR($D287=1,AND(Settings!$B$4="Yes",$D287&lt;=Settings!$B$2)),IF(COUNTIFS(Players!$A$2:$A$101,$B287,Players!$B$2:$B$101,"&lt;&gt;")=0,"Add a starting quota",ROUND(SUMIFS(Players!$B$2:$B$101,Players!$A$2:$A$101,$B287),Settings!$B$3)),ROUND(SUMIFS($C$2:$C$501,$B$2:$B$501,$B287,$D$2:$D$501,"&gt;="&amp;($D287-Settings!$B$2),$D$2:$D$501,"&lt;"&amp;$D287)/COUNTIFS($B$2:$B$501,$B287,$D$2:$D$501,"&gt;="&amp;($D287-Settings!$B$2),$D$2:$D$501,"&lt;"&amp;$D287),Settings!$B$3)))</f>
      </c>
      <c r="F287" s="5">
        <f>IF(ISNUMBER($E287),ROUND($C287-$E287,2),"")</f>
      </c>
      <c r="G287" s="5">
        <f>IF(ISNUMBER($F287),COUNTIFS($A$2:$A$501,$A287,$F$2:$F$501,"&gt;"&amp;$F287)+1,"")</f>
      </c>
    </row>
    <row r="288">
      <c r="A288" s="6"/>
      <c r="D288" s="5">
        <f>IF(OR($A288="",$B288="",$C288=""),"",COUNTIFS($B$2:$B$501,$B288,$C$2:$C$501,"&lt;&gt;",$A$2:$A$501,"&lt;"&amp;$A288)+COUNTIFS($B$1:$B287,$B288,$C$1:$C287,"&lt;&gt;",$A$1:$A287,$A288)+1)</f>
      </c>
      <c r="E288" s="5">
        <f>IF($D288="","",IF(OR($D288=1,AND(Settings!$B$4="Yes",$D288&lt;=Settings!$B$2)),IF(COUNTIFS(Players!$A$2:$A$101,$B288,Players!$B$2:$B$101,"&lt;&gt;")=0,"Add a starting quota",ROUND(SUMIFS(Players!$B$2:$B$101,Players!$A$2:$A$101,$B288),Settings!$B$3)),ROUND(SUMIFS($C$2:$C$501,$B$2:$B$501,$B288,$D$2:$D$501,"&gt;="&amp;($D288-Settings!$B$2),$D$2:$D$501,"&lt;"&amp;$D288)/COUNTIFS($B$2:$B$501,$B288,$D$2:$D$501,"&gt;="&amp;($D288-Settings!$B$2),$D$2:$D$501,"&lt;"&amp;$D288),Settings!$B$3)))</f>
      </c>
      <c r="F288" s="5">
        <f>IF(ISNUMBER($E288),ROUND($C288-$E288,2),"")</f>
      </c>
      <c r="G288" s="5">
        <f>IF(ISNUMBER($F288),COUNTIFS($A$2:$A$501,$A288,$F$2:$F$501,"&gt;"&amp;$F288)+1,"")</f>
      </c>
    </row>
    <row r="289">
      <c r="A289" s="6"/>
      <c r="D289" s="5">
        <f>IF(OR($A289="",$B289="",$C289=""),"",COUNTIFS($B$2:$B$501,$B289,$C$2:$C$501,"&lt;&gt;",$A$2:$A$501,"&lt;"&amp;$A289)+COUNTIFS($B$1:$B288,$B289,$C$1:$C288,"&lt;&gt;",$A$1:$A288,$A289)+1)</f>
      </c>
      <c r="E289" s="5">
        <f>IF($D289="","",IF(OR($D289=1,AND(Settings!$B$4="Yes",$D289&lt;=Settings!$B$2)),IF(COUNTIFS(Players!$A$2:$A$101,$B289,Players!$B$2:$B$101,"&lt;&gt;")=0,"Add a starting quota",ROUND(SUMIFS(Players!$B$2:$B$101,Players!$A$2:$A$101,$B289),Settings!$B$3)),ROUND(SUMIFS($C$2:$C$501,$B$2:$B$501,$B289,$D$2:$D$501,"&gt;="&amp;($D289-Settings!$B$2),$D$2:$D$501,"&lt;"&amp;$D289)/COUNTIFS($B$2:$B$501,$B289,$D$2:$D$501,"&gt;="&amp;($D289-Settings!$B$2),$D$2:$D$501,"&lt;"&amp;$D289),Settings!$B$3)))</f>
      </c>
      <c r="F289" s="5">
        <f>IF(ISNUMBER($E289),ROUND($C289-$E289,2),"")</f>
      </c>
      <c r="G289" s="5">
        <f>IF(ISNUMBER($F289),COUNTIFS($A$2:$A$501,$A289,$F$2:$F$501,"&gt;"&amp;$F289)+1,"")</f>
      </c>
    </row>
    <row r="290">
      <c r="A290" s="6"/>
      <c r="D290" s="5">
        <f>IF(OR($A290="",$B290="",$C290=""),"",COUNTIFS($B$2:$B$501,$B290,$C$2:$C$501,"&lt;&gt;",$A$2:$A$501,"&lt;"&amp;$A290)+COUNTIFS($B$1:$B289,$B290,$C$1:$C289,"&lt;&gt;",$A$1:$A289,$A290)+1)</f>
      </c>
      <c r="E290" s="5">
        <f>IF($D290="","",IF(OR($D290=1,AND(Settings!$B$4="Yes",$D290&lt;=Settings!$B$2)),IF(COUNTIFS(Players!$A$2:$A$101,$B290,Players!$B$2:$B$101,"&lt;&gt;")=0,"Add a starting quota",ROUND(SUMIFS(Players!$B$2:$B$101,Players!$A$2:$A$101,$B290),Settings!$B$3)),ROUND(SUMIFS($C$2:$C$501,$B$2:$B$501,$B290,$D$2:$D$501,"&gt;="&amp;($D290-Settings!$B$2),$D$2:$D$501,"&lt;"&amp;$D290)/COUNTIFS($B$2:$B$501,$B290,$D$2:$D$501,"&gt;="&amp;($D290-Settings!$B$2),$D$2:$D$501,"&lt;"&amp;$D290),Settings!$B$3)))</f>
      </c>
      <c r="F290" s="5">
        <f>IF(ISNUMBER($E290),ROUND($C290-$E290,2),"")</f>
      </c>
      <c r="G290" s="5">
        <f>IF(ISNUMBER($F290),COUNTIFS($A$2:$A$501,$A290,$F$2:$F$501,"&gt;"&amp;$F290)+1,"")</f>
      </c>
    </row>
    <row r="291">
      <c r="A291" s="6"/>
      <c r="D291" s="5">
        <f>IF(OR($A291="",$B291="",$C291=""),"",COUNTIFS($B$2:$B$501,$B291,$C$2:$C$501,"&lt;&gt;",$A$2:$A$501,"&lt;"&amp;$A291)+COUNTIFS($B$1:$B290,$B291,$C$1:$C290,"&lt;&gt;",$A$1:$A290,$A291)+1)</f>
      </c>
      <c r="E291" s="5">
        <f>IF($D291="","",IF(OR($D291=1,AND(Settings!$B$4="Yes",$D291&lt;=Settings!$B$2)),IF(COUNTIFS(Players!$A$2:$A$101,$B291,Players!$B$2:$B$101,"&lt;&gt;")=0,"Add a starting quota",ROUND(SUMIFS(Players!$B$2:$B$101,Players!$A$2:$A$101,$B291),Settings!$B$3)),ROUND(SUMIFS($C$2:$C$501,$B$2:$B$501,$B291,$D$2:$D$501,"&gt;="&amp;($D291-Settings!$B$2),$D$2:$D$501,"&lt;"&amp;$D291)/COUNTIFS($B$2:$B$501,$B291,$D$2:$D$501,"&gt;="&amp;($D291-Settings!$B$2),$D$2:$D$501,"&lt;"&amp;$D291),Settings!$B$3)))</f>
      </c>
      <c r="F291" s="5">
        <f>IF(ISNUMBER($E291),ROUND($C291-$E291,2),"")</f>
      </c>
      <c r="G291" s="5">
        <f>IF(ISNUMBER($F291),COUNTIFS($A$2:$A$501,$A291,$F$2:$F$501,"&gt;"&amp;$F291)+1,"")</f>
      </c>
    </row>
    <row r="292">
      <c r="A292" s="6"/>
      <c r="D292" s="5">
        <f>IF(OR($A292="",$B292="",$C292=""),"",COUNTIFS($B$2:$B$501,$B292,$C$2:$C$501,"&lt;&gt;",$A$2:$A$501,"&lt;"&amp;$A292)+COUNTIFS($B$1:$B291,$B292,$C$1:$C291,"&lt;&gt;",$A$1:$A291,$A292)+1)</f>
      </c>
      <c r="E292" s="5">
        <f>IF($D292="","",IF(OR($D292=1,AND(Settings!$B$4="Yes",$D292&lt;=Settings!$B$2)),IF(COUNTIFS(Players!$A$2:$A$101,$B292,Players!$B$2:$B$101,"&lt;&gt;")=0,"Add a starting quota",ROUND(SUMIFS(Players!$B$2:$B$101,Players!$A$2:$A$101,$B292),Settings!$B$3)),ROUND(SUMIFS($C$2:$C$501,$B$2:$B$501,$B292,$D$2:$D$501,"&gt;="&amp;($D292-Settings!$B$2),$D$2:$D$501,"&lt;"&amp;$D292)/COUNTIFS($B$2:$B$501,$B292,$D$2:$D$501,"&gt;="&amp;($D292-Settings!$B$2),$D$2:$D$501,"&lt;"&amp;$D292),Settings!$B$3)))</f>
      </c>
      <c r="F292" s="5">
        <f>IF(ISNUMBER($E292),ROUND($C292-$E292,2),"")</f>
      </c>
      <c r="G292" s="5">
        <f>IF(ISNUMBER($F292),COUNTIFS($A$2:$A$501,$A292,$F$2:$F$501,"&gt;"&amp;$F292)+1,"")</f>
      </c>
    </row>
    <row r="293">
      <c r="A293" s="6"/>
      <c r="D293" s="5">
        <f>IF(OR($A293="",$B293="",$C293=""),"",COUNTIFS($B$2:$B$501,$B293,$C$2:$C$501,"&lt;&gt;",$A$2:$A$501,"&lt;"&amp;$A293)+COUNTIFS($B$1:$B292,$B293,$C$1:$C292,"&lt;&gt;",$A$1:$A292,$A293)+1)</f>
      </c>
      <c r="E293" s="5">
        <f>IF($D293="","",IF(OR($D293=1,AND(Settings!$B$4="Yes",$D293&lt;=Settings!$B$2)),IF(COUNTIFS(Players!$A$2:$A$101,$B293,Players!$B$2:$B$101,"&lt;&gt;")=0,"Add a starting quota",ROUND(SUMIFS(Players!$B$2:$B$101,Players!$A$2:$A$101,$B293),Settings!$B$3)),ROUND(SUMIFS($C$2:$C$501,$B$2:$B$501,$B293,$D$2:$D$501,"&gt;="&amp;($D293-Settings!$B$2),$D$2:$D$501,"&lt;"&amp;$D293)/COUNTIFS($B$2:$B$501,$B293,$D$2:$D$501,"&gt;="&amp;($D293-Settings!$B$2),$D$2:$D$501,"&lt;"&amp;$D293),Settings!$B$3)))</f>
      </c>
      <c r="F293" s="5">
        <f>IF(ISNUMBER($E293),ROUND($C293-$E293,2),"")</f>
      </c>
      <c r="G293" s="5">
        <f>IF(ISNUMBER($F293),COUNTIFS($A$2:$A$501,$A293,$F$2:$F$501,"&gt;"&amp;$F293)+1,"")</f>
      </c>
    </row>
    <row r="294">
      <c r="A294" s="6"/>
      <c r="D294" s="5">
        <f>IF(OR($A294="",$B294="",$C294=""),"",COUNTIFS($B$2:$B$501,$B294,$C$2:$C$501,"&lt;&gt;",$A$2:$A$501,"&lt;"&amp;$A294)+COUNTIFS($B$1:$B293,$B294,$C$1:$C293,"&lt;&gt;",$A$1:$A293,$A294)+1)</f>
      </c>
      <c r="E294" s="5">
        <f>IF($D294="","",IF(OR($D294=1,AND(Settings!$B$4="Yes",$D294&lt;=Settings!$B$2)),IF(COUNTIFS(Players!$A$2:$A$101,$B294,Players!$B$2:$B$101,"&lt;&gt;")=0,"Add a starting quota",ROUND(SUMIFS(Players!$B$2:$B$101,Players!$A$2:$A$101,$B294),Settings!$B$3)),ROUND(SUMIFS($C$2:$C$501,$B$2:$B$501,$B294,$D$2:$D$501,"&gt;="&amp;($D294-Settings!$B$2),$D$2:$D$501,"&lt;"&amp;$D294)/COUNTIFS($B$2:$B$501,$B294,$D$2:$D$501,"&gt;="&amp;($D294-Settings!$B$2),$D$2:$D$501,"&lt;"&amp;$D294),Settings!$B$3)))</f>
      </c>
      <c r="F294" s="5">
        <f>IF(ISNUMBER($E294),ROUND($C294-$E294,2),"")</f>
      </c>
      <c r="G294" s="5">
        <f>IF(ISNUMBER($F294),COUNTIFS($A$2:$A$501,$A294,$F$2:$F$501,"&gt;"&amp;$F294)+1,"")</f>
      </c>
    </row>
    <row r="295">
      <c r="A295" s="6"/>
      <c r="D295" s="5">
        <f>IF(OR($A295="",$B295="",$C295=""),"",COUNTIFS($B$2:$B$501,$B295,$C$2:$C$501,"&lt;&gt;",$A$2:$A$501,"&lt;"&amp;$A295)+COUNTIFS($B$1:$B294,$B295,$C$1:$C294,"&lt;&gt;",$A$1:$A294,$A295)+1)</f>
      </c>
      <c r="E295" s="5">
        <f>IF($D295="","",IF(OR($D295=1,AND(Settings!$B$4="Yes",$D295&lt;=Settings!$B$2)),IF(COUNTIFS(Players!$A$2:$A$101,$B295,Players!$B$2:$B$101,"&lt;&gt;")=0,"Add a starting quota",ROUND(SUMIFS(Players!$B$2:$B$101,Players!$A$2:$A$101,$B295),Settings!$B$3)),ROUND(SUMIFS($C$2:$C$501,$B$2:$B$501,$B295,$D$2:$D$501,"&gt;="&amp;($D295-Settings!$B$2),$D$2:$D$501,"&lt;"&amp;$D295)/COUNTIFS($B$2:$B$501,$B295,$D$2:$D$501,"&gt;="&amp;($D295-Settings!$B$2),$D$2:$D$501,"&lt;"&amp;$D295),Settings!$B$3)))</f>
      </c>
      <c r="F295" s="5">
        <f>IF(ISNUMBER($E295),ROUND($C295-$E295,2),"")</f>
      </c>
      <c r="G295" s="5">
        <f>IF(ISNUMBER($F295),COUNTIFS($A$2:$A$501,$A295,$F$2:$F$501,"&gt;"&amp;$F295)+1,"")</f>
      </c>
    </row>
    <row r="296">
      <c r="A296" s="6"/>
      <c r="D296" s="5">
        <f>IF(OR($A296="",$B296="",$C296=""),"",COUNTIFS($B$2:$B$501,$B296,$C$2:$C$501,"&lt;&gt;",$A$2:$A$501,"&lt;"&amp;$A296)+COUNTIFS($B$1:$B295,$B296,$C$1:$C295,"&lt;&gt;",$A$1:$A295,$A296)+1)</f>
      </c>
      <c r="E296" s="5">
        <f>IF($D296="","",IF(OR($D296=1,AND(Settings!$B$4="Yes",$D296&lt;=Settings!$B$2)),IF(COUNTIFS(Players!$A$2:$A$101,$B296,Players!$B$2:$B$101,"&lt;&gt;")=0,"Add a starting quota",ROUND(SUMIFS(Players!$B$2:$B$101,Players!$A$2:$A$101,$B296),Settings!$B$3)),ROUND(SUMIFS($C$2:$C$501,$B$2:$B$501,$B296,$D$2:$D$501,"&gt;="&amp;($D296-Settings!$B$2),$D$2:$D$501,"&lt;"&amp;$D296)/COUNTIFS($B$2:$B$501,$B296,$D$2:$D$501,"&gt;="&amp;($D296-Settings!$B$2),$D$2:$D$501,"&lt;"&amp;$D296),Settings!$B$3)))</f>
      </c>
      <c r="F296" s="5">
        <f>IF(ISNUMBER($E296),ROUND($C296-$E296,2),"")</f>
      </c>
      <c r="G296" s="5">
        <f>IF(ISNUMBER($F296),COUNTIFS($A$2:$A$501,$A296,$F$2:$F$501,"&gt;"&amp;$F296)+1,"")</f>
      </c>
    </row>
    <row r="297">
      <c r="A297" s="6"/>
      <c r="D297" s="5">
        <f>IF(OR($A297="",$B297="",$C297=""),"",COUNTIFS($B$2:$B$501,$B297,$C$2:$C$501,"&lt;&gt;",$A$2:$A$501,"&lt;"&amp;$A297)+COUNTIFS($B$1:$B296,$B297,$C$1:$C296,"&lt;&gt;",$A$1:$A296,$A297)+1)</f>
      </c>
      <c r="E297" s="5">
        <f>IF($D297="","",IF(OR($D297=1,AND(Settings!$B$4="Yes",$D297&lt;=Settings!$B$2)),IF(COUNTIFS(Players!$A$2:$A$101,$B297,Players!$B$2:$B$101,"&lt;&gt;")=0,"Add a starting quota",ROUND(SUMIFS(Players!$B$2:$B$101,Players!$A$2:$A$101,$B297),Settings!$B$3)),ROUND(SUMIFS($C$2:$C$501,$B$2:$B$501,$B297,$D$2:$D$501,"&gt;="&amp;($D297-Settings!$B$2),$D$2:$D$501,"&lt;"&amp;$D297)/COUNTIFS($B$2:$B$501,$B297,$D$2:$D$501,"&gt;="&amp;($D297-Settings!$B$2),$D$2:$D$501,"&lt;"&amp;$D297),Settings!$B$3)))</f>
      </c>
      <c r="F297" s="5">
        <f>IF(ISNUMBER($E297),ROUND($C297-$E297,2),"")</f>
      </c>
      <c r="G297" s="5">
        <f>IF(ISNUMBER($F297),COUNTIFS($A$2:$A$501,$A297,$F$2:$F$501,"&gt;"&amp;$F297)+1,"")</f>
      </c>
    </row>
    <row r="298">
      <c r="A298" s="6"/>
      <c r="D298" s="5">
        <f>IF(OR($A298="",$B298="",$C298=""),"",COUNTIFS($B$2:$B$501,$B298,$C$2:$C$501,"&lt;&gt;",$A$2:$A$501,"&lt;"&amp;$A298)+COUNTIFS($B$1:$B297,$B298,$C$1:$C297,"&lt;&gt;",$A$1:$A297,$A298)+1)</f>
      </c>
      <c r="E298" s="5">
        <f>IF($D298="","",IF(OR($D298=1,AND(Settings!$B$4="Yes",$D298&lt;=Settings!$B$2)),IF(COUNTIFS(Players!$A$2:$A$101,$B298,Players!$B$2:$B$101,"&lt;&gt;")=0,"Add a starting quota",ROUND(SUMIFS(Players!$B$2:$B$101,Players!$A$2:$A$101,$B298),Settings!$B$3)),ROUND(SUMIFS($C$2:$C$501,$B$2:$B$501,$B298,$D$2:$D$501,"&gt;="&amp;($D298-Settings!$B$2),$D$2:$D$501,"&lt;"&amp;$D298)/COUNTIFS($B$2:$B$501,$B298,$D$2:$D$501,"&gt;="&amp;($D298-Settings!$B$2),$D$2:$D$501,"&lt;"&amp;$D298),Settings!$B$3)))</f>
      </c>
      <c r="F298" s="5">
        <f>IF(ISNUMBER($E298),ROUND($C298-$E298,2),"")</f>
      </c>
      <c r="G298" s="5">
        <f>IF(ISNUMBER($F298),COUNTIFS($A$2:$A$501,$A298,$F$2:$F$501,"&gt;"&amp;$F298)+1,"")</f>
      </c>
    </row>
    <row r="299">
      <c r="A299" s="6"/>
      <c r="D299" s="5">
        <f>IF(OR($A299="",$B299="",$C299=""),"",COUNTIFS($B$2:$B$501,$B299,$C$2:$C$501,"&lt;&gt;",$A$2:$A$501,"&lt;"&amp;$A299)+COUNTIFS($B$1:$B298,$B299,$C$1:$C298,"&lt;&gt;",$A$1:$A298,$A299)+1)</f>
      </c>
      <c r="E299" s="5">
        <f>IF($D299="","",IF(OR($D299=1,AND(Settings!$B$4="Yes",$D299&lt;=Settings!$B$2)),IF(COUNTIFS(Players!$A$2:$A$101,$B299,Players!$B$2:$B$101,"&lt;&gt;")=0,"Add a starting quota",ROUND(SUMIFS(Players!$B$2:$B$101,Players!$A$2:$A$101,$B299),Settings!$B$3)),ROUND(SUMIFS($C$2:$C$501,$B$2:$B$501,$B299,$D$2:$D$501,"&gt;="&amp;($D299-Settings!$B$2),$D$2:$D$501,"&lt;"&amp;$D299)/COUNTIFS($B$2:$B$501,$B299,$D$2:$D$501,"&gt;="&amp;($D299-Settings!$B$2),$D$2:$D$501,"&lt;"&amp;$D299),Settings!$B$3)))</f>
      </c>
      <c r="F299" s="5">
        <f>IF(ISNUMBER($E299),ROUND($C299-$E299,2),"")</f>
      </c>
      <c r="G299" s="5">
        <f>IF(ISNUMBER($F299),COUNTIFS($A$2:$A$501,$A299,$F$2:$F$501,"&gt;"&amp;$F299)+1,"")</f>
      </c>
    </row>
    <row r="300">
      <c r="A300" s="6"/>
      <c r="D300" s="5">
        <f>IF(OR($A300="",$B300="",$C300=""),"",COUNTIFS($B$2:$B$501,$B300,$C$2:$C$501,"&lt;&gt;",$A$2:$A$501,"&lt;"&amp;$A300)+COUNTIFS($B$1:$B299,$B300,$C$1:$C299,"&lt;&gt;",$A$1:$A299,$A300)+1)</f>
      </c>
      <c r="E300" s="5">
        <f>IF($D300="","",IF(OR($D300=1,AND(Settings!$B$4="Yes",$D300&lt;=Settings!$B$2)),IF(COUNTIFS(Players!$A$2:$A$101,$B300,Players!$B$2:$B$101,"&lt;&gt;")=0,"Add a starting quota",ROUND(SUMIFS(Players!$B$2:$B$101,Players!$A$2:$A$101,$B300),Settings!$B$3)),ROUND(SUMIFS($C$2:$C$501,$B$2:$B$501,$B300,$D$2:$D$501,"&gt;="&amp;($D300-Settings!$B$2),$D$2:$D$501,"&lt;"&amp;$D300)/COUNTIFS($B$2:$B$501,$B300,$D$2:$D$501,"&gt;="&amp;($D300-Settings!$B$2),$D$2:$D$501,"&lt;"&amp;$D300),Settings!$B$3)))</f>
      </c>
      <c r="F300" s="5">
        <f>IF(ISNUMBER($E300),ROUND($C300-$E300,2),"")</f>
      </c>
      <c r="G300" s="5">
        <f>IF(ISNUMBER($F300),COUNTIFS($A$2:$A$501,$A300,$F$2:$F$501,"&gt;"&amp;$F300)+1,"")</f>
      </c>
    </row>
    <row r="301">
      <c r="A301" s="6"/>
      <c r="D301" s="5">
        <f>IF(OR($A301="",$B301="",$C301=""),"",COUNTIFS($B$2:$B$501,$B301,$C$2:$C$501,"&lt;&gt;",$A$2:$A$501,"&lt;"&amp;$A301)+COUNTIFS($B$1:$B300,$B301,$C$1:$C300,"&lt;&gt;",$A$1:$A300,$A301)+1)</f>
      </c>
      <c r="E301" s="5">
        <f>IF($D301="","",IF(OR($D301=1,AND(Settings!$B$4="Yes",$D301&lt;=Settings!$B$2)),IF(COUNTIFS(Players!$A$2:$A$101,$B301,Players!$B$2:$B$101,"&lt;&gt;")=0,"Add a starting quota",ROUND(SUMIFS(Players!$B$2:$B$101,Players!$A$2:$A$101,$B301),Settings!$B$3)),ROUND(SUMIFS($C$2:$C$501,$B$2:$B$501,$B301,$D$2:$D$501,"&gt;="&amp;($D301-Settings!$B$2),$D$2:$D$501,"&lt;"&amp;$D301)/COUNTIFS($B$2:$B$501,$B301,$D$2:$D$501,"&gt;="&amp;($D301-Settings!$B$2),$D$2:$D$501,"&lt;"&amp;$D301),Settings!$B$3)))</f>
      </c>
      <c r="F301" s="5">
        <f>IF(ISNUMBER($E301),ROUND($C301-$E301,2),"")</f>
      </c>
      <c r="G301" s="5">
        <f>IF(ISNUMBER($F301),COUNTIFS($A$2:$A$501,$A301,$F$2:$F$501,"&gt;"&amp;$F301)+1,"")</f>
      </c>
    </row>
    <row r="302">
      <c r="A302" s="6"/>
      <c r="D302" s="5">
        <f>IF(OR($A302="",$B302="",$C302=""),"",COUNTIFS($B$2:$B$501,$B302,$C$2:$C$501,"&lt;&gt;",$A$2:$A$501,"&lt;"&amp;$A302)+COUNTIFS($B$1:$B301,$B302,$C$1:$C301,"&lt;&gt;",$A$1:$A301,$A302)+1)</f>
      </c>
      <c r="E302" s="5">
        <f>IF($D302="","",IF(OR($D302=1,AND(Settings!$B$4="Yes",$D302&lt;=Settings!$B$2)),IF(COUNTIFS(Players!$A$2:$A$101,$B302,Players!$B$2:$B$101,"&lt;&gt;")=0,"Add a starting quota",ROUND(SUMIFS(Players!$B$2:$B$101,Players!$A$2:$A$101,$B302),Settings!$B$3)),ROUND(SUMIFS($C$2:$C$501,$B$2:$B$501,$B302,$D$2:$D$501,"&gt;="&amp;($D302-Settings!$B$2),$D$2:$D$501,"&lt;"&amp;$D302)/COUNTIFS($B$2:$B$501,$B302,$D$2:$D$501,"&gt;="&amp;($D302-Settings!$B$2),$D$2:$D$501,"&lt;"&amp;$D302),Settings!$B$3)))</f>
      </c>
      <c r="F302" s="5">
        <f>IF(ISNUMBER($E302),ROUND($C302-$E302,2),"")</f>
      </c>
      <c r="G302" s="5">
        <f>IF(ISNUMBER($F302),COUNTIFS($A$2:$A$501,$A302,$F$2:$F$501,"&gt;"&amp;$F302)+1,"")</f>
      </c>
    </row>
    <row r="303">
      <c r="A303" s="6"/>
      <c r="D303" s="5">
        <f>IF(OR($A303="",$B303="",$C303=""),"",COUNTIFS($B$2:$B$501,$B303,$C$2:$C$501,"&lt;&gt;",$A$2:$A$501,"&lt;"&amp;$A303)+COUNTIFS($B$1:$B302,$B303,$C$1:$C302,"&lt;&gt;",$A$1:$A302,$A303)+1)</f>
      </c>
      <c r="E303" s="5">
        <f>IF($D303="","",IF(OR($D303=1,AND(Settings!$B$4="Yes",$D303&lt;=Settings!$B$2)),IF(COUNTIFS(Players!$A$2:$A$101,$B303,Players!$B$2:$B$101,"&lt;&gt;")=0,"Add a starting quota",ROUND(SUMIFS(Players!$B$2:$B$101,Players!$A$2:$A$101,$B303),Settings!$B$3)),ROUND(SUMIFS($C$2:$C$501,$B$2:$B$501,$B303,$D$2:$D$501,"&gt;="&amp;($D303-Settings!$B$2),$D$2:$D$501,"&lt;"&amp;$D303)/COUNTIFS($B$2:$B$501,$B303,$D$2:$D$501,"&gt;="&amp;($D303-Settings!$B$2),$D$2:$D$501,"&lt;"&amp;$D303),Settings!$B$3)))</f>
      </c>
      <c r="F303" s="5">
        <f>IF(ISNUMBER($E303),ROUND($C303-$E303,2),"")</f>
      </c>
      <c r="G303" s="5">
        <f>IF(ISNUMBER($F303),COUNTIFS($A$2:$A$501,$A303,$F$2:$F$501,"&gt;"&amp;$F303)+1,"")</f>
      </c>
    </row>
    <row r="304">
      <c r="A304" s="6"/>
      <c r="D304" s="5">
        <f>IF(OR($A304="",$B304="",$C304=""),"",COUNTIFS($B$2:$B$501,$B304,$C$2:$C$501,"&lt;&gt;",$A$2:$A$501,"&lt;"&amp;$A304)+COUNTIFS($B$1:$B303,$B304,$C$1:$C303,"&lt;&gt;",$A$1:$A303,$A304)+1)</f>
      </c>
      <c r="E304" s="5">
        <f>IF($D304="","",IF(OR($D304=1,AND(Settings!$B$4="Yes",$D304&lt;=Settings!$B$2)),IF(COUNTIFS(Players!$A$2:$A$101,$B304,Players!$B$2:$B$101,"&lt;&gt;")=0,"Add a starting quota",ROUND(SUMIFS(Players!$B$2:$B$101,Players!$A$2:$A$101,$B304),Settings!$B$3)),ROUND(SUMIFS($C$2:$C$501,$B$2:$B$501,$B304,$D$2:$D$501,"&gt;="&amp;($D304-Settings!$B$2),$D$2:$D$501,"&lt;"&amp;$D304)/COUNTIFS($B$2:$B$501,$B304,$D$2:$D$501,"&gt;="&amp;($D304-Settings!$B$2),$D$2:$D$501,"&lt;"&amp;$D304),Settings!$B$3)))</f>
      </c>
      <c r="F304" s="5">
        <f>IF(ISNUMBER($E304),ROUND($C304-$E304,2),"")</f>
      </c>
      <c r="G304" s="5">
        <f>IF(ISNUMBER($F304),COUNTIFS($A$2:$A$501,$A304,$F$2:$F$501,"&gt;"&amp;$F304)+1,"")</f>
      </c>
    </row>
    <row r="305">
      <c r="A305" s="6"/>
      <c r="D305" s="5">
        <f>IF(OR($A305="",$B305="",$C305=""),"",COUNTIFS($B$2:$B$501,$B305,$C$2:$C$501,"&lt;&gt;",$A$2:$A$501,"&lt;"&amp;$A305)+COUNTIFS($B$1:$B304,$B305,$C$1:$C304,"&lt;&gt;",$A$1:$A304,$A305)+1)</f>
      </c>
      <c r="E305" s="5">
        <f>IF($D305="","",IF(OR($D305=1,AND(Settings!$B$4="Yes",$D305&lt;=Settings!$B$2)),IF(COUNTIFS(Players!$A$2:$A$101,$B305,Players!$B$2:$B$101,"&lt;&gt;")=0,"Add a starting quota",ROUND(SUMIFS(Players!$B$2:$B$101,Players!$A$2:$A$101,$B305),Settings!$B$3)),ROUND(SUMIFS($C$2:$C$501,$B$2:$B$501,$B305,$D$2:$D$501,"&gt;="&amp;($D305-Settings!$B$2),$D$2:$D$501,"&lt;"&amp;$D305)/COUNTIFS($B$2:$B$501,$B305,$D$2:$D$501,"&gt;="&amp;($D305-Settings!$B$2),$D$2:$D$501,"&lt;"&amp;$D305),Settings!$B$3)))</f>
      </c>
      <c r="F305" s="5">
        <f>IF(ISNUMBER($E305),ROUND($C305-$E305,2),"")</f>
      </c>
      <c r="G305" s="5">
        <f>IF(ISNUMBER($F305),COUNTIFS($A$2:$A$501,$A305,$F$2:$F$501,"&gt;"&amp;$F305)+1,"")</f>
      </c>
    </row>
    <row r="306">
      <c r="A306" s="6"/>
      <c r="D306" s="5">
        <f>IF(OR($A306="",$B306="",$C306=""),"",COUNTIFS($B$2:$B$501,$B306,$C$2:$C$501,"&lt;&gt;",$A$2:$A$501,"&lt;"&amp;$A306)+COUNTIFS($B$1:$B305,$B306,$C$1:$C305,"&lt;&gt;",$A$1:$A305,$A306)+1)</f>
      </c>
      <c r="E306" s="5">
        <f>IF($D306="","",IF(OR($D306=1,AND(Settings!$B$4="Yes",$D306&lt;=Settings!$B$2)),IF(COUNTIFS(Players!$A$2:$A$101,$B306,Players!$B$2:$B$101,"&lt;&gt;")=0,"Add a starting quota",ROUND(SUMIFS(Players!$B$2:$B$101,Players!$A$2:$A$101,$B306),Settings!$B$3)),ROUND(SUMIFS($C$2:$C$501,$B$2:$B$501,$B306,$D$2:$D$501,"&gt;="&amp;($D306-Settings!$B$2),$D$2:$D$501,"&lt;"&amp;$D306)/COUNTIFS($B$2:$B$501,$B306,$D$2:$D$501,"&gt;="&amp;($D306-Settings!$B$2),$D$2:$D$501,"&lt;"&amp;$D306),Settings!$B$3)))</f>
      </c>
      <c r="F306" s="5">
        <f>IF(ISNUMBER($E306),ROUND($C306-$E306,2),"")</f>
      </c>
      <c r="G306" s="5">
        <f>IF(ISNUMBER($F306),COUNTIFS($A$2:$A$501,$A306,$F$2:$F$501,"&gt;"&amp;$F306)+1,"")</f>
      </c>
    </row>
    <row r="307">
      <c r="A307" s="6"/>
      <c r="D307" s="5">
        <f>IF(OR($A307="",$B307="",$C307=""),"",COUNTIFS($B$2:$B$501,$B307,$C$2:$C$501,"&lt;&gt;",$A$2:$A$501,"&lt;"&amp;$A307)+COUNTIFS($B$1:$B306,$B307,$C$1:$C306,"&lt;&gt;",$A$1:$A306,$A307)+1)</f>
      </c>
      <c r="E307" s="5">
        <f>IF($D307="","",IF(OR($D307=1,AND(Settings!$B$4="Yes",$D307&lt;=Settings!$B$2)),IF(COUNTIFS(Players!$A$2:$A$101,$B307,Players!$B$2:$B$101,"&lt;&gt;")=0,"Add a starting quota",ROUND(SUMIFS(Players!$B$2:$B$101,Players!$A$2:$A$101,$B307),Settings!$B$3)),ROUND(SUMIFS($C$2:$C$501,$B$2:$B$501,$B307,$D$2:$D$501,"&gt;="&amp;($D307-Settings!$B$2),$D$2:$D$501,"&lt;"&amp;$D307)/COUNTIFS($B$2:$B$501,$B307,$D$2:$D$501,"&gt;="&amp;($D307-Settings!$B$2),$D$2:$D$501,"&lt;"&amp;$D307),Settings!$B$3)))</f>
      </c>
      <c r="F307" s="5">
        <f>IF(ISNUMBER($E307),ROUND($C307-$E307,2),"")</f>
      </c>
      <c r="G307" s="5">
        <f>IF(ISNUMBER($F307),COUNTIFS($A$2:$A$501,$A307,$F$2:$F$501,"&gt;"&amp;$F307)+1,"")</f>
      </c>
    </row>
    <row r="308">
      <c r="A308" s="6"/>
      <c r="D308" s="5">
        <f>IF(OR($A308="",$B308="",$C308=""),"",COUNTIFS($B$2:$B$501,$B308,$C$2:$C$501,"&lt;&gt;",$A$2:$A$501,"&lt;"&amp;$A308)+COUNTIFS($B$1:$B307,$B308,$C$1:$C307,"&lt;&gt;",$A$1:$A307,$A308)+1)</f>
      </c>
      <c r="E308" s="5">
        <f>IF($D308="","",IF(OR($D308=1,AND(Settings!$B$4="Yes",$D308&lt;=Settings!$B$2)),IF(COUNTIFS(Players!$A$2:$A$101,$B308,Players!$B$2:$B$101,"&lt;&gt;")=0,"Add a starting quota",ROUND(SUMIFS(Players!$B$2:$B$101,Players!$A$2:$A$101,$B308),Settings!$B$3)),ROUND(SUMIFS($C$2:$C$501,$B$2:$B$501,$B308,$D$2:$D$501,"&gt;="&amp;($D308-Settings!$B$2),$D$2:$D$501,"&lt;"&amp;$D308)/COUNTIFS($B$2:$B$501,$B308,$D$2:$D$501,"&gt;="&amp;($D308-Settings!$B$2),$D$2:$D$501,"&lt;"&amp;$D308),Settings!$B$3)))</f>
      </c>
      <c r="F308" s="5">
        <f>IF(ISNUMBER($E308),ROUND($C308-$E308,2),"")</f>
      </c>
      <c r="G308" s="5">
        <f>IF(ISNUMBER($F308),COUNTIFS($A$2:$A$501,$A308,$F$2:$F$501,"&gt;"&amp;$F308)+1,"")</f>
      </c>
    </row>
    <row r="309">
      <c r="A309" s="6"/>
      <c r="D309" s="5">
        <f>IF(OR($A309="",$B309="",$C309=""),"",COUNTIFS($B$2:$B$501,$B309,$C$2:$C$501,"&lt;&gt;",$A$2:$A$501,"&lt;"&amp;$A309)+COUNTIFS($B$1:$B308,$B309,$C$1:$C308,"&lt;&gt;",$A$1:$A308,$A309)+1)</f>
      </c>
      <c r="E309" s="5">
        <f>IF($D309="","",IF(OR($D309=1,AND(Settings!$B$4="Yes",$D309&lt;=Settings!$B$2)),IF(COUNTIFS(Players!$A$2:$A$101,$B309,Players!$B$2:$B$101,"&lt;&gt;")=0,"Add a starting quota",ROUND(SUMIFS(Players!$B$2:$B$101,Players!$A$2:$A$101,$B309),Settings!$B$3)),ROUND(SUMIFS($C$2:$C$501,$B$2:$B$501,$B309,$D$2:$D$501,"&gt;="&amp;($D309-Settings!$B$2),$D$2:$D$501,"&lt;"&amp;$D309)/COUNTIFS($B$2:$B$501,$B309,$D$2:$D$501,"&gt;="&amp;($D309-Settings!$B$2),$D$2:$D$501,"&lt;"&amp;$D309),Settings!$B$3)))</f>
      </c>
      <c r="F309" s="5">
        <f>IF(ISNUMBER($E309),ROUND($C309-$E309,2),"")</f>
      </c>
      <c r="G309" s="5">
        <f>IF(ISNUMBER($F309),COUNTIFS($A$2:$A$501,$A309,$F$2:$F$501,"&gt;"&amp;$F309)+1,"")</f>
      </c>
    </row>
    <row r="310">
      <c r="A310" s="6"/>
      <c r="D310" s="5">
        <f>IF(OR($A310="",$B310="",$C310=""),"",COUNTIFS($B$2:$B$501,$B310,$C$2:$C$501,"&lt;&gt;",$A$2:$A$501,"&lt;"&amp;$A310)+COUNTIFS($B$1:$B309,$B310,$C$1:$C309,"&lt;&gt;",$A$1:$A309,$A310)+1)</f>
      </c>
      <c r="E310" s="5">
        <f>IF($D310="","",IF(OR($D310=1,AND(Settings!$B$4="Yes",$D310&lt;=Settings!$B$2)),IF(COUNTIFS(Players!$A$2:$A$101,$B310,Players!$B$2:$B$101,"&lt;&gt;")=0,"Add a starting quota",ROUND(SUMIFS(Players!$B$2:$B$101,Players!$A$2:$A$101,$B310),Settings!$B$3)),ROUND(SUMIFS($C$2:$C$501,$B$2:$B$501,$B310,$D$2:$D$501,"&gt;="&amp;($D310-Settings!$B$2),$D$2:$D$501,"&lt;"&amp;$D310)/COUNTIFS($B$2:$B$501,$B310,$D$2:$D$501,"&gt;="&amp;($D310-Settings!$B$2),$D$2:$D$501,"&lt;"&amp;$D310),Settings!$B$3)))</f>
      </c>
      <c r="F310" s="5">
        <f>IF(ISNUMBER($E310),ROUND($C310-$E310,2),"")</f>
      </c>
      <c r="G310" s="5">
        <f>IF(ISNUMBER($F310),COUNTIFS($A$2:$A$501,$A310,$F$2:$F$501,"&gt;"&amp;$F310)+1,"")</f>
      </c>
    </row>
    <row r="311">
      <c r="A311" s="6"/>
      <c r="D311" s="5">
        <f>IF(OR($A311="",$B311="",$C311=""),"",COUNTIFS($B$2:$B$501,$B311,$C$2:$C$501,"&lt;&gt;",$A$2:$A$501,"&lt;"&amp;$A311)+COUNTIFS($B$1:$B310,$B311,$C$1:$C310,"&lt;&gt;",$A$1:$A310,$A311)+1)</f>
      </c>
      <c r="E311" s="5">
        <f>IF($D311="","",IF(OR($D311=1,AND(Settings!$B$4="Yes",$D311&lt;=Settings!$B$2)),IF(COUNTIFS(Players!$A$2:$A$101,$B311,Players!$B$2:$B$101,"&lt;&gt;")=0,"Add a starting quota",ROUND(SUMIFS(Players!$B$2:$B$101,Players!$A$2:$A$101,$B311),Settings!$B$3)),ROUND(SUMIFS($C$2:$C$501,$B$2:$B$501,$B311,$D$2:$D$501,"&gt;="&amp;($D311-Settings!$B$2),$D$2:$D$501,"&lt;"&amp;$D311)/COUNTIFS($B$2:$B$501,$B311,$D$2:$D$501,"&gt;="&amp;($D311-Settings!$B$2),$D$2:$D$501,"&lt;"&amp;$D311),Settings!$B$3)))</f>
      </c>
      <c r="F311" s="5">
        <f>IF(ISNUMBER($E311),ROUND($C311-$E311,2),"")</f>
      </c>
      <c r="G311" s="5">
        <f>IF(ISNUMBER($F311),COUNTIFS($A$2:$A$501,$A311,$F$2:$F$501,"&gt;"&amp;$F311)+1,"")</f>
      </c>
    </row>
    <row r="312">
      <c r="A312" s="6"/>
      <c r="D312" s="5">
        <f>IF(OR($A312="",$B312="",$C312=""),"",COUNTIFS($B$2:$B$501,$B312,$C$2:$C$501,"&lt;&gt;",$A$2:$A$501,"&lt;"&amp;$A312)+COUNTIFS($B$1:$B311,$B312,$C$1:$C311,"&lt;&gt;",$A$1:$A311,$A312)+1)</f>
      </c>
      <c r="E312" s="5">
        <f>IF($D312="","",IF(OR($D312=1,AND(Settings!$B$4="Yes",$D312&lt;=Settings!$B$2)),IF(COUNTIFS(Players!$A$2:$A$101,$B312,Players!$B$2:$B$101,"&lt;&gt;")=0,"Add a starting quota",ROUND(SUMIFS(Players!$B$2:$B$101,Players!$A$2:$A$101,$B312),Settings!$B$3)),ROUND(SUMIFS($C$2:$C$501,$B$2:$B$501,$B312,$D$2:$D$501,"&gt;="&amp;($D312-Settings!$B$2),$D$2:$D$501,"&lt;"&amp;$D312)/COUNTIFS($B$2:$B$501,$B312,$D$2:$D$501,"&gt;="&amp;($D312-Settings!$B$2),$D$2:$D$501,"&lt;"&amp;$D312),Settings!$B$3)))</f>
      </c>
      <c r="F312" s="5">
        <f>IF(ISNUMBER($E312),ROUND($C312-$E312,2),"")</f>
      </c>
      <c r="G312" s="5">
        <f>IF(ISNUMBER($F312),COUNTIFS($A$2:$A$501,$A312,$F$2:$F$501,"&gt;"&amp;$F312)+1,"")</f>
      </c>
    </row>
    <row r="313">
      <c r="A313" s="6"/>
      <c r="D313" s="5">
        <f>IF(OR($A313="",$B313="",$C313=""),"",COUNTIFS($B$2:$B$501,$B313,$C$2:$C$501,"&lt;&gt;",$A$2:$A$501,"&lt;"&amp;$A313)+COUNTIFS($B$1:$B312,$B313,$C$1:$C312,"&lt;&gt;",$A$1:$A312,$A313)+1)</f>
      </c>
      <c r="E313" s="5">
        <f>IF($D313="","",IF(OR($D313=1,AND(Settings!$B$4="Yes",$D313&lt;=Settings!$B$2)),IF(COUNTIFS(Players!$A$2:$A$101,$B313,Players!$B$2:$B$101,"&lt;&gt;")=0,"Add a starting quota",ROUND(SUMIFS(Players!$B$2:$B$101,Players!$A$2:$A$101,$B313),Settings!$B$3)),ROUND(SUMIFS($C$2:$C$501,$B$2:$B$501,$B313,$D$2:$D$501,"&gt;="&amp;($D313-Settings!$B$2),$D$2:$D$501,"&lt;"&amp;$D313)/COUNTIFS($B$2:$B$501,$B313,$D$2:$D$501,"&gt;="&amp;($D313-Settings!$B$2),$D$2:$D$501,"&lt;"&amp;$D313),Settings!$B$3)))</f>
      </c>
      <c r="F313" s="5">
        <f>IF(ISNUMBER($E313),ROUND($C313-$E313,2),"")</f>
      </c>
      <c r="G313" s="5">
        <f>IF(ISNUMBER($F313),COUNTIFS($A$2:$A$501,$A313,$F$2:$F$501,"&gt;"&amp;$F313)+1,"")</f>
      </c>
    </row>
    <row r="314">
      <c r="A314" s="6"/>
      <c r="D314" s="5">
        <f>IF(OR($A314="",$B314="",$C314=""),"",COUNTIFS($B$2:$B$501,$B314,$C$2:$C$501,"&lt;&gt;",$A$2:$A$501,"&lt;"&amp;$A314)+COUNTIFS($B$1:$B313,$B314,$C$1:$C313,"&lt;&gt;",$A$1:$A313,$A314)+1)</f>
      </c>
      <c r="E314" s="5">
        <f>IF($D314="","",IF(OR($D314=1,AND(Settings!$B$4="Yes",$D314&lt;=Settings!$B$2)),IF(COUNTIFS(Players!$A$2:$A$101,$B314,Players!$B$2:$B$101,"&lt;&gt;")=0,"Add a starting quota",ROUND(SUMIFS(Players!$B$2:$B$101,Players!$A$2:$A$101,$B314),Settings!$B$3)),ROUND(SUMIFS($C$2:$C$501,$B$2:$B$501,$B314,$D$2:$D$501,"&gt;="&amp;($D314-Settings!$B$2),$D$2:$D$501,"&lt;"&amp;$D314)/COUNTIFS($B$2:$B$501,$B314,$D$2:$D$501,"&gt;="&amp;($D314-Settings!$B$2),$D$2:$D$501,"&lt;"&amp;$D314),Settings!$B$3)))</f>
      </c>
      <c r="F314" s="5">
        <f>IF(ISNUMBER($E314),ROUND($C314-$E314,2),"")</f>
      </c>
      <c r="G314" s="5">
        <f>IF(ISNUMBER($F314),COUNTIFS($A$2:$A$501,$A314,$F$2:$F$501,"&gt;"&amp;$F314)+1,"")</f>
      </c>
    </row>
    <row r="315">
      <c r="A315" s="6"/>
      <c r="D315" s="5">
        <f>IF(OR($A315="",$B315="",$C315=""),"",COUNTIFS($B$2:$B$501,$B315,$C$2:$C$501,"&lt;&gt;",$A$2:$A$501,"&lt;"&amp;$A315)+COUNTIFS($B$1:$B314,$B315,$C$1:$C314,"&lt;&gt;",$A$1:$A314,$A315)+1)</f>
      </c>
      <c r="E315" s="5">
        <f>IF($D315="","",IF(OR($D315=1,AND(Settings!$B$4="Yes",$D315&lt;=Settings!$B$2)),IF(COUNTIFS(Players!$A$2:$A$101,$B315,Players!$B$2:$B$101,"&lt;&gt;")=0,"Add a starting quota",ROUND(SUMIFS(Players!$B$2:$B$101,Players!$A$2:$A$101,$B315),Settings!$B$3)),ROUND(SUMIFS($C$2:$C$501,$B$2:$B$501,$B315,$D$2:$D$501,"&gt;="&amp;($D315-Settings!$B$2),$D$2:$D$501,"&lt;"&amp;$D315)/COUNTIFS($B$2:$B$501,$B315,$D$2:$D$501,"&gt;="&amp;($D315-Settings!$B$2),$D$2:$D$501,"&lt;"&amp;$D315),Settings!$B$3)))</f>
      </c>
      <c r="F315" s="5">
        <f>IF(ISNUMBER($E315),ROUND($C315-$E315,2),"")</f>
      </c>
      <c r="G315" s="5">
        <f>IF(ISNUMBER($F315),COUNTIFS($A$2:$A$501,$A315,$F$2:$F$501,"&gt;"&amp;$F315)+1,"")</f>
      </c>
    </row>
    <row r="316">
      <c r="A316" s="6"/>
      <c r="D316" s="5">
        <f>IF(OR($A316="",$B316="",$C316=""),"",COUNTIFS($B$2:$B$501,$B316,$C$2:$C$501,"&lt;&gt;",$A$2:$A$501,"&lt;"&amp;$A316)+COUNTIFS($B$1:$B315,$B316,$C$1:$C315,"&lt;&gt;",$A$1:$A315,$A316)+1)</f>
      </c>
      <c r="E316" s="5">
        <f>IF($D316="","",IF(OR($D316=1,AND(Settings!$B$4="Yes",$D316&lt;=Settings!$B$2)),IF(COUNTIFS(Players!$A$2:$A$101,$B316,Players!$B$2:$B$101,"&lt;&gt;")=0,"Add a starting quota",ROUND(SUMIFS(Players!$B$2:$B$101,Players!$A$2:$A$101,$B316),Settings!$B$3)),ROUND(SUMIFS($C$2:$C$501,$B$2:$B$501,$B316,$D$2:$D$501,"&gt;="&amp;($D316-Settings!$B$2),$D$2:$D$501,"&lt;"&amp;$D316)/COUNTIFS($B$2:$B$501,$B316,$D$2:$D$501,"&gt;="&amp;($D316-Settings!$B$2),$D$2:$D$501,"&lt;"&amp;$D316),Settings!$B$3)))</f>
      </c>
      <c r="F316" s="5">
        <f>IF(ISNUMBER($E316),ROUND($C316-$E316,2),"")</f>
      </c>
      <c r="G316" s="5">
        <f>IF(ISNUMBER($F316),COUNTIFS($A$2:$A$501,$A316,$F$2:$F$501,"&gt;"&amp;$F316)+1,"")</f>
      </c>
    </row>
    <row r="317">
      <c r="A317" s="6"/>
      <c r="D317" s="5">
        <f>IF(OR($A317="",$B317="",$C317=""),"",COUNTIFS($B$2:$B$501,$B317,$C$2:$C$501,"&lt;&gt;",$A$2:$A$501,"&lt;"&amp;$A317)+COUNTIFS($B$1:$B316,$B317,$C$1:$C316,"&lt;&gt;",$A$1:$A316,$A317)+1)</f>
      </c>
      <c r="E317" s="5">
        <f>IF($D317="","",IF(OR($D317=1,AND(Settings!$B$4="Yes",$D317&lt;=Settings!$B$2)),IF(COUNTIFS(Players!$A$2:$A$101,$B317,Players!$B$2:$B$101,"&lt;&gt;")=0,"Add a starting quota",ROUND(SUMIFS(Players!$B$2:$B$101,Players!$A$2:$A$101,$B317),Settings!$B$3)),ROUND(SUMIFS($C$2:$C$501,$B$2:$B$501,$B317,$D$2:$D$501,"&gt;="&amp;($D317-Settings!$B$2),$D$2:$D$501,"&lt;"&amp;$D317)/COUNTIFS($B$2:$B$501,$B317,$D$2:$D$501,"&gt;="&amp;($D317-Settings!$B$2),$D$2:$D$501,"&lt;"&amp;$D317),Settings!$B$3)))</f>
      </c>
      <c r="F317" s="5">
        <f>IF(ISNUMBER($E317),ROUND($C317-$E317,2),"")</f>
      </c>
      <c r="G317" s="5">
        <f>IF(ISNUMBER($F317),COUNTIFS($A$2:$A$501,$A317,$F$2:$F$501,"&gt;"&amp;$F317)+1,"")</f>
      </c>
    </row>
    <row r="318">
      <c r="A318" s="6"/>
      <c r="D318" s="5">
        <f>IF(OR($A318="",$B318="",$C318=""),"",COUNTIFS($B$2:$B$501,$B318,$C$2:$C$501,"&lt;&gt;",$A$2:$A$501,"&lt;"&amp;$A318)+COUNTIFS($B$1:$B317,$B318,$C$1:$C317,"&lt;&gt;",$A$1:$A317,$A318)+1)</f>
      </c>
      <c r="E318" s="5">
        <f>IF($D318="","",IF(OR($D318=1,AND(Settings!$B$4="Yes",$D318&lt;=Settings!$B$2)),IF(COUNTIFS(Players!$A$2:$A$101,$B318,Players!$B$2:$B$101,"&lt;&gt;")=0,"Add a starting quota",ROUND(SUMIFS(Players!$B$2:$B$101,Players!$A$2:$A$101,$B318),Settings!$B$3)),ROUND(SUMIFS($C$2:$C$501,$B$2:$B$501,$B318,$D$2:$D$501,"&gt;="&amp;($D318-Settings!$B$2),$D$2:$D$501,"&lt;"&amp;$D318)/COUNTIFS($B$2:$B$501,$B318,$D$2:$D$501,"&gt;="&amp;($D318-Settings!$B$2),$D$2:$D$501,"&lt;"&amp;$D318),Settings!$B$3)))</f>
      </c>
      <c r="F318" s="5">
        <f>IF(ISNUMBER($E318),ROUND($C318-$E318,2),"")</f>
      </c>
      <c r="G318" s="5">
        <f>IF(ISNUMBER($F318),COUNTIFS($A$2:$A$501,$A318,$F$2:$F$501,"&gt;"&amp;$F318)+1,"")</f>
      </c>
    </row>
    <row r="319">
      <c r="A319" s="6"/>
      <c r="D319" s="5">
        <f>IF(OR($A319="",$B319="",$C319=""),"",COUNTIFS($B$2:$B$501,$B319,$C$2:$C$501,"&lt;&gt;",$A$2:$A$501,"&lt;"&amp;$A319)+COUNTIFS($B$1:$B318,$B319,$C$1:$C318,"&lt;&gt;",$A$1:$A318,$A319)+1)</f>
      </c>
      <c r="E319" s="5">
        <f>IF($D319="","",IF(OR($D319=1,AND(Settings!$B$4="Yes",$D319&lt;=Settings!$B$2)),IF(COUNTIFS(Players!$A$2:$A$101,$B319,Players!$B$2:$B$101,"&lt;&gt;")=0,"Add a starting quota",ROUND(SUMIFS(Players!$B$2:$B$101,Players!$A$2:$A$101,$B319),Settings!$B$3)),ROUND(SUMIFS($C$2:$C$501,$B$2:$B$501,$B319,$D$2:$D$501,"&gt;="&amp;($D319-Settings!$B$2),$D$2:$D$501,"&lt;"&amp;$D319)/COUNTIFS($B$2:$B$501,$B319,$D$2:$D$501,"&gt;="&amp;($D319-Settings!$B$2),$D$2:$D$501,"&lt;"&amp;$D319),Settings!$B$3)))</f>
      </c>
      <c r="F319" s="5">
        <f>IF(ISNUMBER($E319),ROUND($C319-$E319,2),"")</f>
      </c>
      <c r="G319" s="5">
        <f>IF(ISNUMBER($F319),COUNTIFS($A$2:$A$501,$A319,$F$2:$F$501,"&gt;"&amp;$F319)+1,"")</f>
      </c>
    </row>
    <row r="320">
      <c r="A320" s="6"/>
      <c r="D320" s="5">
        <f>IF(OR($A320="",$B320="",$C320=""),"",COUNTIFS($B$2:$B$501,$B320,$C$2:$C$501,"&lt;&gt;",$A$2:$A$501,"&lt;"&amp;$A320)+COUNTIFS($B$1:$B319,$B320,$C$1:$C319,"&lt;&gt;",$A$1:$A319,$A320)+1)</f>
      </c>
      <c r="E320" s="5">
        <f>IF($D320="","",IF(OR($D320=1,AND(Settings!$B$4="Yes",$D320&lt;=Settings!$B$2)),IF(COUNTIFS(Players!$A$2:$A$101,$B320,Players!$B$2:$B$101,"&lt;&gt;")=0,"Add a starting quota",ROUND(SUMIFS(Players!$B$2:$B$101,Players!$A$2:$A$101,$B320),Settings!$B$3)),ROUND(SUMIFS($C$2:$C$501,$B$2:$B$501,$B320,$D$2:$D$501,"&gt;="&amp;($D320-Settings!$B$2),$D$2:$D$501,"&lt;"&amp;$D320)/COUNTIFS($B$2:$B$501,$B320,$D$2:$D$501,"&gt;="&amp;($D320-Settings!$B$2),$D$2:$D$501,"&lt;"&amp;$D320),Settings!$B$3)))</f>
      </c>
      <c r="F320" s="5">
        <f>IF(ISNUMBER($E320),ROUND($C320-$E320,2),"")</f>
      </c>
      <c r="G320" s="5">
        <f>IF(ISNUMBER($F320),COUNTIFS($A$2:$A$501,$A320,$F$2:$F$501,"&gt;"&amp;$F320)+1,"")</f>
      </c>
    </row>
    <row r="321">
      <c r="A321" s="6"/>
      <c r="D321" s="5">
        <f>IF(OR($A321="",$B321="",$C321=""),"",COUNTIFS($B$2:$B$501,$B321,$C$2:$C$501,"&lt;&gt;",$A$2:$A$501,"&lt;"&amp;$A321)+COUNTIFS($B$1:$B320,$B321,$C$1:$C320,"&lt;&gt;",$A$1:$A320,$A321)+1)</f>
      </c>
      <c r="E321" s="5">
        <f>IF($D321="","",IF(OR($D321=1,AND(Settings!$B$4="Yes",$D321&lt;=Settings!$B$2)),IF(COUNTIFS(Players!$A$2:$A$101,$B321,Players!$B$2:$B$101,"&lt;&gt;")=0,"Add a starting quota",ROUND(SUMIFS(Players!$B$2:$B$101,Players!$A$2:$A$101,$B321),Settings!$B$3)),ROUND(SUMIFS($C$2:$C$501,$B$2:$B$501,$B321,$D$2:$D$501,"&gt;="&amp;($D321-Settings!$B$2),$D$2:$D$501,"&lt;"&amp;$D321)/COUNTIFS($B$2:$B$501,$B321,$D$2:$D$501,"&gt;="&amp;($D321-Settings!$B$2),$D$2:$D$501,"&lt;"&amp;$D321),Settings!$B$3)))</f>
      </c>
      <c r="F321" s="5">
        <f>IF(ISNUMBER($E321),ROUND($C321-$E321,2),"")</f>
      </c>
      <c r="G321" s="5">
        <f>IF(ISNUMBER($F321),COUNTIFS($A$2:$A$501,$A321,$F$2:$F$501,"&gt;"&amp;$F321)+1,"")</f>
      </c>
    </row>
    <row r="322">
      <c r="A322" s="6"/>
      <c r="D322" s="5">
        <f>IF(OR($A322="",$B322="",$C322=""),"",COUNTIFS($B$2:$B$501,$B322,$C$2:$C$501,"&lt;&gt;",$A$2:$A$501,"&lt;"&amp;$A322)+COUNTIFS($B$1:$B321,$B322,$C$1:$C321,"&lt;&gt;",$A$1:$A321,$A322)+1)</f>
      </c>
      <c r="E322" s="5">
        <f>IF($D322="","",IF(OR($D322=1,AND(Settings!$B$4="Yes",$D322&lt;=Settings!$B$2)),IF(COUNTIFS(Players!$A$2:$A$101,$B322,Players!$B$2:$B$101,"&lt;&gt;")=0,"Add a starting quota",ROUND(SUMIFS(Players!$B$2:$B$101,Players!$A$2:$A$101,$B322),Settings!$B$3)),ROUND(SUMIFS($C$2:$C$501,$B$2:$B$501,$B322,$D$2:$D$501,"&gt;="&amp;($D322-Settings!$B$2),$D$2:$D$501,"&lt;"&amp;$D322)/COUNTIFS($B$2:$B$501,$B322,$D$2:$D$501,"&gt;="&amp;($D322-Settings!$B$2),$D$2:$D$501,"&lt;"&amp;$D322),Settings!$B$3)))</f>
      </c>
      <c r="F322" s="5">
        <f>IF(ISNUMBER($E322),ROUND($C322-$E322,2),"")</f>
      </c>
      <c r="G322" s="5">
        <f>IF(ISNUMBER($F322),COUNTIFS($A$2:$A$501,$A322,$F$2:$F$501,"&gt;"&amp;$F322)+1,"")</f>
      </c>
    </row>
    <row r="323">
      <c r="A323" s="6"/>
      <c r="D323" s="5">
        <f>IF(OR($A323="",$B323="",$C323=""),"",COUNTIFS($B$2:$B$501,$B323,$C$2:$C$501,"&lt;&gt;",$A$2:$A$501,"&lt;"&amp;$A323)+COUNTIFS($B$1:$B322,$B323,$C$1:$C322,"&lt;&gt;",$A$1:$A322,$A323)+1)</f>
      </c>
      <c r="E323" s="5">
        <f>IF($D323="","",IF(OR($D323=1,AND(Settings!$B$4="Yes",$D323&lt;=Settings!$B$2)),IF(COUNTIFS(Players!$A$2:$A$101,$B323,Players!$B$2:$B$101,"&lt;&gt;")=0,"Add a starting quota",ROUND(SUMIFS(Players!$B$2:$B$101,Players!$A$2:$A$101,$B323),Settings!$B$3)),ROUND(SUMIFS($C$2:$C$501,$B$2:$B$501,$B323,$D$2:$D$501,"&gt;="&amp;($D323-Settings!$B$2),$D$2:$D$501,"&lt;"&amp;$D323)/COUNTIFS($B$2:$B$501,$B323,$D$2:$D$501,"&gt;="&amp;($D323-Settings!$B$2),$D$2:$D$501,"&lt;"&amp;$D323),Settings!$B$3)))</f>
      </c>
      <c r="F323" s="5">
        <f>IF(ISNUMBER($E323),ROUND($C323-$E323,2),"")</f>
      </c>
      <c r="G323" s="5">
        <f>IF(ISNUMBER($F323),COUNTIFS($A$2:$A$501,$A323,$F$2:$F$501,"&gt;"&amp;$F323)+1,"")</f>
      </c>
    </row>
    <row r="324">
      <c r="A324" s="6"/>
      <c r="D324" s="5">
        <f>IF(OR($A324="",$B324="",$C324=""),"",COUNTIFS($B$2:$B$501,$B324,$C$2:$C$501,"&lt;&gt;",$A$2:$A$501,"&lt;"&amp;$A324)+COUNTIFS($B$1:$B323,$B324,$C$1:$C323,"&lt;&gt;",$A$1:$A323,$A324)+1)</f>
      </c>
      <c r="E324" s="5">
        <f>IF($D324="","",IF(OR($D324=1,AND(Settings!$B$4="Yes",$D324&lt;=Settings!$B$2)),IF(COUNTIFS(Players!$A$2:$A$101,$B324,Players!$B$2:$B$101,"&lt;&gt;")=0,"Add a starting quota",ROUND(SUMIFS(Players!$B$2:$B$101,Players!$A$2:$A$101,$B324),Settings!$B$3)),ROUND(SUMIFS($C$2:$C$501,$B$2:$B$501,$B324,$D$2:$D$501,"&gt;="&amp;($D324-Settings!$B$2),$D$2:$D$501,"&lt;"&amp;$D324)/COUNTIFS($B$2:$B$501,$B324,$D$2:$D$501,"&gt;="&amp;($D324-Settings!$B$2),$D$2:$D$501,"&lt;"&amp;$D324),Settings!$B$3)))</f>
      </c>
      <c r="F324" s="5">
        <f>IF(ISNUMBER($E324),ROUND($C324-$E324,2),"")</f>
      </c>
      <c r="G324" s="5">
        <f>IF(ISNUMBER($F324),COUNTIFS($A$2:$A$501,$A324,$F$2:$F$501,"&gt;"&amp;$F324)+1,"")</f>
      </c>
    </row>
    <row r="325">
      <c r="A325" s="6"/>
      <c r="D325" s="5">
        <f>IF(OR($A325="",$B325="",$C325=""),"",COUNTIFS($B$2:$B$501,$B325,$C$2:$C$501,"&lt;&gt;",$A$2:$A$501,"&lt;"&amp;$A325)+COUNTIFS($B$1:$B324,$B325,$C$1:$C324,"&lt;&gt;",$A$1:$A324,$A325)+1)</f>
      </c>
      <c r="E325" s="5">
        <f>IF($D325="","",IF(OR($D325=1,AND(Settings!$B$4="Yes",$D325&lt;=Settings!$B$2)),IF(COUNTIFS(Players!$A$2:$A$101,$B325,Players!$B$2:$B$101,"&lt;&gt;")=0,"Add a starting quota",ROUND(SUMIFS(Players!$B$2:$B$101,Players!$A$2:$A$101,$B325),Settings!$B$3)),ROUND(SUMIFS($C$2:$C$501,$B$2:$B$501,$B325,$D$2:$D$501,"&gt;="&amp;($D325-Settings!$B$2),$D$2:$D$501,"&lt;"&amp;$D325)/COUNTIFS($B$2:$B$501,$B325,$D$2:$D$501,"&gt;="&amp;($D325-Settings!$B$2),$D$2:$D$501,"&lt;"&amp;$D325),Settings!$B$3)))</f>
      </c>
      <c r="F325" s="5">
        <f>IF(ISNUMBER($E325),ROUND($C325-$E325,2),"")</f>
      </c>
      <c r="G325" s="5">
        <f>IF(ISNUMBER($F325),COUNTIFS($A$2:$A$501,$A325,$F$2:$F$501,"&gt;"&amp;$F325)+1,"")</f>
      </c>
    </row>
    <row r="326">
      <c r="A326" s="6"/>
      <c r="D326" s="5">
        <f>IF(OR($A326="",$B326="",$C326=""),"",COUNTIFS($B$2:$B$501,$B326,$C$2:$C$501,"&lt;&gt;",$A$2:$A$501,"&lt;"&amp;$A326)+COUNTIFS($B$1:$B325,$B326,$C$1:$C325,"&lt;&gt;",$A$1:$A325,$A326)+1)</f>
      </c>
      <c r="E326" s="5">
        <f>IF($D326="","",IF(OR($D326=1,AND(Settings!$B$4="Yes",$D326&lt;=Settings!$B$2)),IF(COUNTIFS(Players!$A$2:$A$101,$B326,Players!$B$2:$B$101,"&lt;&gt;")=0,"Add a starting quota",ROUND(SUMIFS(Players!$B$2:$B$101,Players!$A$2:$A$101,$B326),Settings!$B$3)),ROUND(SUMIFS($C$2:$C$501,$B$2:$B$501,$B326,$D$2:$D$501,"&gt;="&amp;($D326-Settings!$B$2),$D$2:$D$501,"&lt;"&amp;$D326)/COUNTIFS($B$2:$B$501,$B326,$D$2:$D$501,"&gt;="&amp;($D326-Settings!$B$2),$D$2:$D$501,"&lt;"&amp;$D326),Settings!$B$3)))</f>
      </c>
      <c r="F326" s="5">
        <f>IF(ISNUMBER($E326),ROUND($C326-$E326,2),"")</f>
      </c>
      <c r="G326" s="5">
        <f>IF(ISNUMBER($F326),COUNTIFS($A$2:$A$501,$A326,$F$2:$F$501,"&gt;"&amp;$F326)+1,"")</f>
      </c>
    </row>
    <row r="327">
      <c r="A327" s="6"/>
      <c r="D327" s="5">
        <f>IF(OR($A327="",$B327="",$C327=""),"",COUNTIFS($B$2:$B$501,$B327,$C$2:$C$501,"&lt;&gt;",$A$2:$A$501,"&lt;"&amp;$A327)+COUNTIFS($B$1:$B326,$B327,$C$1:$C326,"&lt;&gt;",$A$1:$A326,$A327)+1)</f>
      </c>
      <c r="E327" s="5">
        <f>IF($D327="","",IF(OR($D327=1,AND(Settings!$B$4="Yes",$D327&lt;=Settings!$B$2)),IF(COUNTIFS(Players!$A$2:$A$101,$B327,Players!$B$2:$B$101,"&lt;&gt;")=0,"Add a starting quota",ROUND(SUMIFS(Players!$B$2:$B$101,Players!$A$2:$A$101,$B327),Settings!$B$3)),ROUND(SUMIFS($C$2:$C$501,$B$2:$B$501,$B327,$D$2:$D$501,"&gt;="&amp;($D327-Settings!$B$2),$D$2:$D$501,"&lt;"&amp;$D327)/COUNTIFS($B$2:$B$501,$B327,$D$2:$D$501,"&gt;="&amp;($D327-Settings!$B$2),$D$2:$D$501,"&lt;"&amp;$D327),Settings!$B$3)))</f>
      </c>
      <c r="F327" s="5">
        <f>IF(ISNUMBER($E327),ROUND($C327-$E327,2),"")</f>
      </c>
      <c r="G327" s="5">
        <f>IF(ISNUMBER($F327),COUNTIFS($A$2:$A$501,$A327,$F$2:$F$501,"&gt;"&amp;$F327)+1,"")</f>
      </c>
    </row>
    <row r="328">
      <c r="A328" s="6"/>
      <c r="D328" s="5">
        <f>IF(OR($A328="",$B328="",$C328=""),"",COUNTIFS($B$2:$B$501,$B328,$C$2:$C$501,"&lt;&gt;",$A$2:$A$501,"&lt;"&amp;$A328)+COUNTIFS($B$1:$B327,$B328,$C$1:$C327,"&lt;&gt;",$A$1:$A327,$A328)+1)</f>
      </c>
      <c r="E328" s="5">
        <f>IF($D328="","",IF(OR($D328=1,AND(Settings!$B$4="Yes",$D328&lt;=Settings!$B$2)),IF(COUNTIFS(Players!$A$2:$A$101,$B328,Players!$B$2:$B$101,"&lt;&gt;")=0,"Add a starting quota",ROUND(SUMIFS(Players!$B$2:$B$101,Players!$A$2:$A$101,$B328),Settings!$B$3)),ROUND(SUMIFS($C$2:$C$501,$B$2:$B$501,$B328,$D$2:$D$501,"&gt;="&amp;($D328-Settings!$B$2),$D$2:$D$501,"&lt;"&amp;$D328)/COUNTIFS($B$2:$B$501,$B328,$D$2:$D$501,"&gt;="&amp;($D328-Settings!$B$2),$D$2:$D$501,"&lt;"&amp;$D328),Settings!$B$3)))</f>
      </c>
      <c r="F328" s="5">
        <f>IF(ISNUMBER($E328),ROUND($C328-$E328,2),"")</f>
      </c>
      <c r="G328" s="5">
        <f>IF(ISNUMBER($F328),COUNTIFS($A$2:$A$501,$A328,$F$2:$F$501,"&gt;"&amp;$F328)+1,"")</f>
      </c>
    </row>
    <row r="329">
      <c r="A329" s="6"/>
      <c r="D329" s="5">
        <f>IF(OR($A329="",$B329="",$C329=""),"",COUNTIFS($B$2:$B$501,$B329,$C$2:$C$501,"&lt;&gt;",$A$2:$A$501,"&lt;"&amp;$A329)+COUNTIFS($B$1:$B328,$B329,$C$1:$C328,"&lt;&gt;",$A$1:$A328,$A329)+1)</f>
      </c>
      <c r="E329" s="5">
        <f>IF($D329="","",IF(OR($D329=1,AND(Settings!$B$4="Yes",$D329&lt;=Settings!$B$2)),IF(COUNTIFS(Players!$A$2:$A$101,$B329,Players!$B$2:$B$101,"&lt;&gt;")=0,"Add a starting quota",ROUND(SUMIFS(Players!$B$2:$B$101,Players!$A$2:$A$101,$B329),Settings!$B$3)),ROUND(SUMIFS($C$2:$C$501,$B$2:$B$501,$B329,$D$2:$D$501,"&gt;="&amp;($D329-Settings!$B$2),$D$2:$D$501,"&lt;"&amp;$D329)/COUNTIFS($B$2:$B$501,$B329,$D$2:$D$501,"&gt;="&amp;($D329-Settings!$B$2),$D$2:$D$501,"&lt;"&amp;$D329),Settings!$B$3)))</f>
      </c>
      <c r="F329" s="5">
        <f>IF(ISNUMBER($E329),ROUND($C329-$E329,2),"")</f>
      </c>
      <c r="G329" s="5">
        <f>IF(ISNUMBER($F329),COUNTIFS($A$2:$A$501,$A329,$F$2:$F$501,"&gt;"&amp;$F329)+1,"")</f>
      </c>
    </row>
    <row r="330">
      <c r="A330" s="6"/>
      <c r="D330" s="5">
        <f>IF(OR($A330="",$B330="",$C330=""),"",COUNTIFS($B$2:$B$501,$B330,$C$2:$C$501,"&lt;&gt;",$A$2:$A$501,"&lt;"&amp;$A330)+COUNTIFS($B$1:$B329,$B330,$C$1:$C329,"&lt;&gt;",$A$1:$A329,$A330)+1)</f>
      </c>
      <c r="E330" s="5">
        <f>IF($D330="","",IF(OR($D330=1,AND(Settings!$B$4="Yes",$D330&lt;=Settings!$B$2)),IF(COUNTIFS(Players!$A$2:$A$101,$B330,Players!$B$2:$B$101,"&lt;&gt;")=0,"Add a starting quota",ROUND(SUMIFS(Players!$B$2:$B$101,Players!$A$2:$A$101,$B330),Settings!$B$3)),ROUND(SUMIFS($C$2:$C$501,$B$2:$B$501,$B330,$D$2:$D$501,"&gt;="&amp;($D330-Settings!$B$2),$D$2:$D$501,"&lt;"&amp;$D330)/COUNTIFS($B$2:$B$501,$B330,$D$2:$D$501,"&gt;="&amp;($D330-Settings!$B$2),$D$2:$D$501,"&lt;"&amp;$D330),Settings!$B$3)))</f>
      </c>
      <c r="F330" s="5">
        <f>IF(ISNUMBER($E330),ROUND($C330-$E330,2),"")</f>
      </c>
      <c r="G330" s="5">
        <f>IF(ISNUMBER($F330),COUNTIFS($A$2:$A$501,$A330,$F$2:$F$501,"&gt;"&amp;$F330)+1,"")</f>
      </c>
    </row>
    <row r="331">
      <c r="A331" s="6"/>
      <c r="D331" s="5">
        <f>IF(OR($A331="",$B331="",$C331=""),"",COUNTIFS($B$2:$B$501,$B331,$C$2:$C$501,"&lt;&gt;",$A$2:$A$501,"&lt;"&amp;$A331)+COUNTIFS($B$1:$B330,$B331,$C$1:$C330,"&lt;&gt;",$A$1:$A330,$A331)+1)</f>
      </c>
      <c r="E331" s="5">
        <f>IF($D331="","",IF(OR($D331=1,AND(Settings!$B$4="Yes",$D331&lt;=Settings!$B$2)),IF(COUNTIFS(Players!$A$2:$A$101,$B331,Players!$B$2:$B$101,"&lt;&gt;")=0,"Add a starting quota",ROUND(SUMIFS(Players!$B$2:$B$101,Players!$A$2:$A$101,$B331),Settings!$B$3)),ROUND(SUMIFS($C$2:$C$501,$B$2:$B$501,$B331,$D$2:$D$501,"&gt;="&amp;($D331-Settings!$B$2),$D$2:$D$501,"&lt;"&amp;$D331)/COUNTIFS($B$2:$B$501,$B331,$D$2:$D$501,"&gt;="&amp;($D331-Settings!$B$2),$D$2:$D$501,"&lt;"&amp;$D331),Settings!$B$3)))</f>
      </c>
      <c r="F331" s="5">
        <f>IF(ISNUMBER($E331),ROUND($C331-$E331,2),"")</f>
      </c>
      <c r="G331" s="5">
        <f>IF(ISNUMBER($F331),COUNTIFS($A$2:$A$501,$A331,$F$2:$F$501,"&gt;"&amp;$F331)+1,"")</f>
      </c>
    </row>
    <row r="332">
      <c r="A332" s="6"/>
      <c r="D332" s="5">
        <f>IF(OR($A332="",$B332="",$C332=""),"",COUNTIFS($B$2:$B$501,$B332,$C$2:$C$501,"&lt;&gt;",$A$2:$A$501,"&lt;"&amp;$A332)+COUNTIFS($B$1:$B331,$B332,$C$1:$C331,"&lt;&gt;",$A$1:$A331,$A332)+1)</f>
      </c>
      <c r="E332" s="5">
        <f>IF($D332="","",IF(OR($D332=1,AND(Settings!$B$4="Yes",$D332&lt;=Settings!$B$2)),IF(COUNTIFS(Players!$A$2:$A$101,$B332,Players!$B$2:$B$101,"&lt;&gt;")=0,"Add a starting quota",ROUND(SUMIFS(Players!$B$2:$B$101,Players!$A$2:$A$101,$B332),Settings!$B$3)),ROUND(SUMIFS($C$2:$C$501,$B$2:$B$501,$B332,$D$2:$D$501,"&gt;="&amp;($D332-Settings!$B$2),$D$2:$D$501,"&lt;"&amp;$D332)/COUNTIFS($B$2:$B$501,$B332,$D$2:$D$501,"&gt;="&amp;($D332-Settings!$B$2),$D$2:$D$501,"&lt;"&amp;$D332),Settings!$B$3)))</f>
      </c>
      <c r="F332" s="5">
        <f>IF(ISNUMBER($E332),ROUND($C332-$E332,2),"")</f>
      </c>
      <c r="G332" s="5">
        <f>IF(ISNUMBER($F332),COUNTIFS($A$2:$A$501,$A332,$F$2:$F$501,"&gt;"&amp;$F332)+1,"")</f>
      </c>
    </row>
    <row r="333">
      <c r="A333" s="6"/>
      <c r="D333" s="5">
        <f>IF(OR($A333="",$B333="",$C333=""),"",COUNTIFS($B$2:$B$501,$B333,$C$2:$C$501,"&lt;&gt;",$A$2:$A$501,"&lt;"&amp;$A333)+COUNTIFS($B$1:$B332,$B333,$C$1:$C332,"&lt;&gt;",$A$1:$A332,$A333)+1)</f>
      </c>
      <c r="E333" s="5">
        <f>IF($D333="","",IF(OR($D333=1,AND(Settings!$B$4="Yes",$D333&lt;=Settings!$B$2)),IF(COUNTIFS(Players!$A$2:$A$101,$B333,Players!$B$2:$B$101,"&lt;&gt;")=0,"Add a starting quota",ROUND(SUMIFS(Players!$B$2:$B$101,Players!$A$2:$A$101,$B333),Settings!$B$3)),ROUND(SUMIFS($C$2:$C$501,$B$2:$B$501,$B333,$D$2:$D$501,"&gt;="&amp;($D333-Settings!$B$2),$D$2:$D$501,"&lt;"&amp;$D333)/COUNTIFS($B$2:$B$501,$B333,$D$2:$D$501,"&gt;="&amp;($D333-Settings!$B$2),$D$2:$D$501,"&lt;"&amp;$D333),Settings!$B$3)))</f>
      </c>
      <c r="F333" s="5">
        <f>IF(ISNUMBER($E333),ROUND($C333-$E333,2),"")</f>
      </c>
      <c r="G333" s="5">
        <f>IF(ISNUMBER($F333),COUNTIFS($A$2:$A$501,$A333,$F$2:$F$501,"&gt;"&amp;$F333)+1,"")</f>
      </c>
    </row>
    <row r="334">
      <c r="A334" s="6"/>
      <c r="D334" s="5">
        <f>IF(OR($A334="",$B334="",$C334=""),"",COUNTIFS($B$2:$B$501,$B334,$C$2:$C$501,"&lt;&gt;",$A$2:$A$501,"&lt;"&amp;$A334)+COUNTIFS($B$1:$B333,$B334,$C$1:$C333,"&lt;&gt;",$A$1:$A333,$A334)+1)</f>
      </c>
      <c r="E334" s="5">
        <f>IF($D334="","",IF(OR($D334=1,AND(Settings!$B$4="Yes",$D334&lt;=Settings!$B$2)),IF(COUNTIFS(Players!$A$2:$A$101,$B334,Players!$B$2:$B$101,"&lt;&gt;")=0,"Add a starting quota",ROUND(SUMIFS(Players!$B$2:$B$101,Players!$A$2:$A$101,$B334),Settings!$B$3)),ROUND(SUMIFS($C$2:$C$501,$B$2:$B$501,$B334,$D$2:$D$501,"&gt;="&amp;($D334-Settings!$B$2),$D$2:$D$501,"&lt;"&amp;$D334)/COUNTIFS($B$2:$B$501,$B334,$D$2:$D$501,"&gt;="&amp;($D334-Settings!$B$2),$D$2:$D$501,"&lt;"&amp;$D334),Settings!$B$3)))</f>
      </c>
      <c r="F334" s="5">
        <f>IF(ISNUMBER($E334),ROUND($C334-$E334,2),"")</f>
      </c>
      <c r="G334" s="5">
        <f>IF(ISNUMBER($F334),COUNTIFS($A$2:$A$501,$A334,$F$2:$F$501,"&gt;"&amp;$F334)+1,"")</f>
      </c>
    </row>
    <row r="335">
      <c r="A335" s="6"/>
      <c r="D335" s="5">
        <f>IF(OR($A335="",$B335="",$C335=""),"",COUNTIFS($B$2:$B$501,$B335,$C$2:$C$501,"&lt;&gt;",$A$2:$A$501,"&lt;"&amp;$A335)+COUNTIFS($B$1:$B334,$B335,$C$1:$C334,"&lt;&gt;",$A$1:$A334,$A335)+1)</f>
      </c>
      <c r="E335" s="5">
        <f>IF($D335="","",IF(OR($D335=1,AND(Settings!$B$4="Yes",$D335&lt;=Settings!$B$2)),IF(COUNTIFS(Players!$A$2:$A$101,$B335,Players!$B$2:$B$101,"&lt;&gt;")=0,"Add a starting quota",ROUND(SUMIFS(Players!$B$2:$B$101,Players!$A$2:$A$101,$B335),Settings!$B$3)),ROUND(SUMIFS($C$2:$C$501,$B$2:$B$501,$B335,$D$2:$D$501,"&gt;="&amp;($D335-Settings!$B$2),$D$2:$D$501,"&lt;"&amp;$D335)/COUNTIFS($B$2:$B$501,$B335,$D$2:$D$501,"&gt;="&amp;($D335-Settings!$B$2),$D$2:$D$501,"&lt;"&amp;$D335),Settings!$B$3)))</f>
      </c>
      <c r="F335" s="5">
        <f>IF(ISNUMBER($E335),ROUND($C335-$E335,2),"")</f>
      </c>
      <c r="G335" s="5">
        <f>IF(ISNUMBER($F335),COUNTIFS($A$2:$A$501,$A335,$F$2:$F$501,"&gt;"&amp;$F335)+1,"")</f>
      </c>
    </row>
    <row r="336">
      <c r="A336" s="6"/>
      <c r="D336" s="5">
        <f>IF(OR($A336="",$B336="",$C336=""),"",COUNTIFS($B$2:$B$501,$B336,$C$2:$C$501,"&lt;&gt;",$A$2:$A$501,"&lt;"&amp;$A336)+COUNTIFS($B$1:$B335,$B336,$C$1:$C335,"&lt;&gt;",$A$1:$A335,$A336)+1)</f>
      </c>
      <c r="E336" s="5">
        <f>IF($D336="","",IF(OR($D336=1,AND(Settings!$B$4="Yes",$D336&lt;=Settings!$B$2)),IF(COUNTIFS(Players!$A$2:$A$101,$B336,Players!$B$2:$B$101,"&lt;&gt;")=0,"Add a starting quota",ROUND(SUMIFS(Players!$B$2:$B$101,Players!$A$2:$A$101,$B336),Settings!$B$3)),ROUND(SUMIFS($C$2:$C$501,$B$2:$B$501,$B336,$D$2:$D$501,"&gt;="&amp;($D336-Settings!$B$2),$D$2:$D$501,"&lt;"&amp;$D336)/COUNTIFS($B$2:$B$501,$B336,$D$2:$D$501,"&gt;="&amp;($D336-Settings!$B$2),$D$2:$D$501,"&lt;"&amp;$D336),Settings!$B$3)))</f>
      </c>
      <c r="F336" s="5">
        <f>IF(ISNUMBER($E336),ROUND($C336-$E336,2),"")</f>
      </c>
      <c r="G336" s="5">
        <f>IF(ISNUMBER($F336),COUNTIFS($A$2:$A$501,$A336,$F$2:$F$501,"&gt;"&amp;$F336)+1,"")</f>
      </c>
    </row>
    <row r="337">
      <c r="A337" s="6"/>
      <c r="D337" s="5">
        <f>IF(OR($A337="",$B337="",$C337=""),"",COUNTIFS($B$2:$B$501,$B337,$C$2:$C$501,"&lt;&gt;",$A$2:$A$501,"&lt;"&amp;$A337)+COUNTIFS($B$1:$B336,$B337,$C$1:$C336,"&lt;&gt;",$A$1:$A336,$A337)+1)</f>
      </c>
      <c r="E337" s="5">
        <f>IF($D337="","",IF(OR($D337=1,AND(Settings!$B$4="Yes",$D337&lt;=Settings!$B$2)),IF(COUNTIFS(Players!$A$2:$A$101,$B337,Players!$B$2:$B$101,"&lt;&gt;")=0,"Add a starting quota",ROUND(SUMIFS(Players!$B$2:$B$101,Players!$A$2:$A$101,$B337),Settings!$B$3)),ROUND(SUMIFS($C$2:$C$501,$B$2:$B$501,$B337,$D$2:$D$501,"&gt;="&amp;($D337-Settings!$B$2),$D$2:$D$501,"&lt;"&amp;$D337)/COUNTIFS($B$2:$B$501,$B337,$D$2:$D$501,"&gt;="&amp;($D337-Settings!$B$2),$D$2:$D$501,"&lt;"&amp;$D337),Settings!$B$3)))</f>
      </c>
      <c r="F337" s="5">
        <f>IF(ISNUMBER($E337),ROUND($C337-$E337,2),"")</f>
      </c>
      <c r="G337" s="5">
        <f>IF(ISNUMBER($F337),COUNTIFS($A$2:$A$501,$A337,$F$2:$F$501,"&gt;"&amp;$F337)+1,"")</f>
      </c>
    </row>
    <row r="338">
      <c r="A338" s="6"/>
      <c r="D338" s="5">
        <f>IF(OR($A338="",$B338="",$C338=""),"",COUNTIFS($B$2:$B$501,$B338,$C$2:$C$501,"&lt;&gt;",$A$2:$A$501,"&lt;"&amp;$A338)+COUNTIFS($B$1:$B337,$B338,$C$1:$C337,"&lt;&gt;",$A$1:$A337,$A338)+1)</f>
      </c>
      <c r="E338" s="5">
        <f>IF($D338="","",IF(OR($D338=1,AND(Settings!$B$4="Yes",$D338&lt;=Settings!$B$2)),IF(COUNTIFS(Players!$A$2:$A$101,$B338,Players!$B$2:$B$101,"&lt;&gt;")=0,"Add a starting quota",ROUND(SUMIFS(Players!$B$2:$B$101,Players!$A$2:$A$101,$B338),Settings!$B$3)),ROUND(SUMIFS($C$2:$C$501,$B$2:$B$501,$B338,$D$2:$D$501,"&gt;="&amp;($D338-Settings!$B$2),$D$2:$D$501,"&lt;"&amp;$D338)/COUNTIFS($B$2:$B$501,$B338,$D$2:$D$501,"&gt;="&amp;($D338-Settings!$B$2),$D$2:$D$501,"&lt;"&amp;$D338),Settings!$B$3)))</f>
      </c>
      <c r="F338" s="5">
        <f>IF(ISNUMBER($E338),ROUND($C338-$E338,2),"")</f>
      </c>
      <c r="G338" s="5">
        <f>IF(ISNUMBER($F338),COUNTIFS($A$2:$A$501,$A338,$F$2:$F$501,"&gt;"&amp;$F338)+1,"")</f>
      </c>
    </row>
    <row r="339">
      <c r="A339" s="6"/>
      <c r="D339" s="5">
        <f>IF(OR($A339="",$B339="",$C339=""),"",COUNTIFS($B$2:$B$501,$B339,$C$2:$C$501,"&lt;&gt;",$A$2:$A$501,"&lt;"&amp;$A339)+COUNTIFS($B$1:$B338,$B339,$C$1:$C338,"&lt;&gt;",$A$1:$A338,$A339)+1)</f>
      </c>
      <c r="E339" s="5">
        <f>IF($D339="","",IF(OR($D339=1,AND(Settings!$B$4="Yes",$D339&lt;=Settings!$B$2)),IF(COUNTIFS(Players!$A$2:$A$101,$B339,Players!$B$2:$B$101,"&lt;&gt;")=0,"Add a starting quota",ROUND(SUMIFS(Players!$B$2:$B$101,Players!$A$2:$A$101,$B339),Settings!$B$3)),ROUND(SUMIFS($C$2:$C$501,$B$2:$B$501,$B339,$D$2:$D$501,"&gt;="&amp;($D339-Settings!$B$2),$D$2:$D$501,"&lt;"&amp;$D339)/COUNTIFS($B$2:$B$501,$B339,$D$2:$D$501,"&gt;="&amp;($D339-Settings!$B$2),$D$2:$D$501,"&lt;"&amp;$D339),Settings!$B$3)))</f>
      </c>
      <c r="F339" s="5">
        <f>IF(ISNUMBER($E339),ROUND($C339-$E339,2),"")</f>
      </c>
      <c r="G339" s="5">
        <f>IF(ISNUMBER($F339),COUNTIFS($A$2:$A$501,$A339,$F$2:$F$501,"&gt;"&amp;$F339)+1,"")</f>
      </c>
    </row>
    <row r="340">
      <c r="A340" s="6"/>
      <c r="D340" s="5">
        <f>IF(OR($A340="",$B340="",$C340=""),"",COUNTIFS($B$2:$B$501,$B340,$C$2:$C$501,"&lt;&gt;",$A$2:$A$501,"&lt;"&amp;$A340)+COUNTIFS($B$1:$B339,$B340,$C$1:$C339,"&lt;&gt;",$A$1:$A339,$A340)+1)</f>
      </c>
      <c r="E340" s="5">
        <f>IF($D340="","",IF(OR($D340=1,AND(Settings!$B$4="Yes",$D340&lt;=Settings!$B$2)),IF(COUNTIFS(Players!$A$2:$A$101,$B340,Players!$B$2:$B$101,"&lt;&gt;")=0,"Add a starting quota",ROUND(SUMIFS(Players!$B$2:$B$101,Players!$A$2:$A$101,$B340),Settings!$B$3)),ROUND(SUMIFS($C$2:$C$501,$B$2:$B$501,$B340,$D$2:$D$501,"&gt;="&amp;($D340-Settings!$B$2),$D$2:$D$501,"&lt;"&amp;$D340)/COUNTIFS($B$2:$B$501,$B340,$D$2:$D$501,"&gt;="&amp;($D340-Settings!$B$2),$D$2:$D$501,"&lt;"&amp;$D340),Settings!$B$3)))</f>
      </c>
      <c r="F340" s="5">
        <f>IF(ISNUMBER($E340),ROUND($C340-$E340,2),"")</f>
      </c>
      <c r="G340" s="5">
        <f>IF(ISNUMBER($F340),COUNTIFS($A$2:$A$501,$A340,$F$2:$F$501,"&gt;"&amp;$F340)+1,"")</f>
      </c>
    </row>
    <row r="341">
      <c r="A341" s="6"/>
      <c r="D341" s="5">
        <f>IF(OR($A341="",$B341="",$C341=""),"",COUNTIFS($B$2:$B$501,$B341,$C$2:$C$501,"&lt;&gt;",$A$2:$A$501,"&lt;"&amp;$A341)+COUNTIFS($B$1:$B340,$B341,$C$1:$C340,"&lt;&gt;",$A$1:$A340,$A341)+1)</f>
      </c>
      <c r="E341" s="5">
        <f>IF($D341="","",IF(OR($D341=1,AND(Settings!$B$4="Yes",$D341&lt;=Settings!$B$2)),IF(COUNTIFS(Players!$A$2:$A$101,$B341,Players!$B$2:$B$101,"&lt;&gt;")=0,"Add a starting quota",ROUND(SUMIFS(Players!$B$2:$B$101,Players!$A$2:$A$101,$B341),Settings!$B$3)),ROUND(SUMIFS($C$2:$C$501,$B$2:$B$501,$B341,$D$2:$D$501,"&gt;="&amp;($D341-Settings!$B$2),$D$2:$D$501,"&lt;"&amp;$D341)/COUNTIFS($B$2:$B$501,$B341,$D$2:$D$501,"&gt;="&amp;($D341-Settings!$B$2),$D$2:$D$501,"&lt;"&amp;$D341),Settings!$B$3)))</f>
      </c>
      <c r="F341" s="5">
        <f>IF(ISNUMBER($E341),ROUND($C341-$E341,2),"")</f>
      </c>
      <c r="G341" s="5">
        <f>IF(ISNUMBER($F341),COUNTIFS($A$2:$A$501,$A341,$F$2:$F$501,"&gt;"&amp;$F341)+1,"")</f>
      </c>
    </row>
    <row r="342">
      <c r="A342" s="6"/>
      <c r="D342" s="5">
        <f>IF(OR($A342="",$B342="",$C342=""),"",COUNTIFS($B$2:$B$501,$B342,$C$2:$C$501,"&lt;&gt;",$A$2:$A$501,"&lt;"&amp;$A342)+COUNTIFS($B$1:$B341,$B342,$C$1:$C341,"&lt;&gt;",$A$1:$A341,$A342)+1)</f>
      </c>
      <c r="E342" s="5">
        <f>IF($D342="","",IF(OR($D342=1,AND(Settings!$B$4="Yes",$D342&lt;=Settings!$B$2)),IF(COUNTIFS(Players!$A$2:$A$101,$B342,Players!$B$2:$B$101,"&lt;&gt;")=0,"Add a starting quota",ROUND(SUMIFS(Players!$B$2:$B$101,Players!$A$2:$A$101,$B342),Settings!$B$3)),ROUND(SUMIFS($C$2:$C$501,$B$2:$B$501,$B342,$D$2:$D$501,"&gt;="&amp;($D342-Settings!$B$2),$D$2:$D$501,"&lt;"&amp;$D342)/COUNTIFS($B$2:$B$501,$B342,$D$2:$D$501,"&gt;="&amp;($D342-Settings!$B$2),$D$2:$D$501,"&lt;"&amp;$D342),Settings!$B$3)))</f>
      </c>
      <c r="F342" s="5">
        <f>IF(ISNUMBER($E342),ROUND($C342-$E342,2),"")</f>
      </c>
      <c r="G342" s="5">
        <f>IF(ISNUMBER($F342),COUNTIFS($A$2:$A$501,$A342,$F$2:$F$501,"&gt;"&amp;$F342)+1,"")</f>
      </c>
    </row>
    <row r="343">
      <c r="A343" s="6"/>
      <c r="D343" s="5">
        <f>IF(OR($A343="",$B343="",$C343=""),"",COUNTIFS($B$2:$B$501,$B343,$C$2:$C$501,"&lt;&gt;",$A$2:$A$501,"&lt;"&amp;$A343)+COUNTIFS($B$1:$B342,$B343,$C$1:$C342,"&lt;&gt;",$A$1:$A342,$A343)+1)</f>
      </c>
      <c r="E343" s="5">
        <f>IF($D343="","",IF(OR($D343=1,AND(Settings!$B$4="Yes",$D343&lt;=Settings!$B$2)),IF(COUNTIFS(Players!$A$2:$A$101,$B343,Players!$B$2:$B$101,"&lt;&gt;")=0,"Add a starting quota",ROUND(SUMIFS(Players!$B$2:$B$101,Players!$A$2:$A$101,$B343),Settings!$B$3)),ROUND(SUMIFS($C$2:$C$501,$B$2:$B$501,$B343,$D$2:$D$501,"&gt;="&amp;($D343-Settings!$B$2),$D$2:$D$501,"&lt;"&amp;$D343)/COUNTIFS($B$2:$B$501,$B343,$D$2:$D$501,"&gt;="&amp;($D343-Settings!$B$2),$D$2:$D$501,"&lt;"&amp;$D343),Settings!$B$3)))</f>
      </c>
      <c r="F343" s="5">
        <f>IF(ISNUMBER($E343),ROUND($C343-$E343,2),"")</f>
      </c>
      <c r="G343" s="5">
        <f>IF(ISNUMBER($F343),COUNTIFS($A$2:$A$501,$A343,$F$2:$F$501,"&gt;"&amp;$F343)+1,"")</f>
      </c>
    </row>
    <row r="344">
      <c r="A344" s="6"/>
      <c r="D344" s="5">
        <f>IF(OR($A344="",$B344="",$C344=""),"",COUNTIFS($B$2:$B$501,$B344,$C$2:$C$501,"&lt;&gt;",$A$2:$A$501,"&lt;"&amp;$A344)+COUNTIFS($B$1:$B343,$B344,$C$1:$C343,"&lt;&gt;",$A$1:$A343,$A344)+1)</f>
      </c>
      <c r="E344" s="5">
        <f>IF($D344="","",IF(OR($D344=1,AND(Settings!$B$4="Yes",$D344&lt;=Settings!$B$2)),IF(COUNTIFS(Players!$A$2:$A$101,$B344,Players!$B$2:$B$101,"&lt;&gt;")=0,"Add a starting quota",ROUND(SUMIFS(Players!$B$2:$B$101,Players!$A$2:$A$101,$B344),Settings!$B$3)),ROUND(SUMIFS($C$2:$C$501,$B$2:$B$501,$B344,$D$2:$D$501,"&gt;="&amp;($D344-Settings!$B$2),$D$2:$D$501,"&lt;"&amp;$D344)/COUNTIFS($B$2:$B$501,$B344,$D$2:$D$501,"&gt;="&amp;($D344-Settings!$B$2),$D$2:$D$501,"&lt;"&amp;$D344),Settings!$B$3)))</f>
      </c>
      <c r="F344" s="5">
        <f>IF(ISNUMBER($E344),ROUND($C344-$E344,2),"")</f>
      </c>
      <c r="G344" s="5">
        <f>IF(ISNUMBER($F344),COUNTIFS($A$2:$A$501,$A344,$F$2:$F$501,"&gt;"&amp;$F344)+1,"")</f>
      </c>
    </row>
    <row r="345">
      <c r="A345" s="6"/>
      <c r="D345" s="5">
        <f>IF(OR($A345="",$B345="",$C345=""),"",COUNTIFS($B$2:$B$501,$B345,$C$2:$C$501,"&lt;&gt;",$A$2:$A$501,"&lt;"&amp;$A345)+COUNTIFS($B$1:$B344,$B345,$C$1:$C344,"&lt;&gt;",$A$1:$A344,$A345)+1)</f>
      </c>
      <c r="E345" s="5">
        <f>IF($D345="","",IF(OR($D345=1,AND(Settings!$B$4="Yes",$D345&lt;=Settings!$B$2)),IF(COUNTIFS(Players!$A$2:$A$101,$B345,Players!$B$2:$B$101,"&lt;&gt;")=0,"Add a starting quota",ROUND(SUMIFS(Players!$B$2:$B$101,Players!$A$2:$A$101,$B345),Settings!$B$3)),ROUND(SUMIFS($C$2:$C$501,$B$2:$B$501,$B345,$D$2:$D$501,"&gt;="&amp;($D345-Settings!$B$2),$D$2:$D$501,"&lt;"&amp;$D345)/COUNTIFS($B$2:$B$501,$B345,$D$2:$D$501,"&gt;="&amp;($D345-Settings!$B$2),$D$2:$D$501,"&lt;"&amp;$D345),Settings!$B$3)))</f>
      </c>
      <c r="F345" s="5">
        <f>IF(ISNUMBER($E345),ROUND($C345-$E345,2),"")</f>
      </c>
      <c r="G345" s="5">
        <f>IF(ISNUMBER($F345),COUNTIFS($A$2:$A$501,$A345,$F$2:$F$501,"&gt;"&amp;$F345)+1,"")</f>
      </c>
    </row>
    <row r="346">
      <c r="A346" s="6"/>
      <c r="D346" s="5">
        <f>IF(OR($A346="",$B346="",$C346=""),"",COUNTIFS($B$2:$B$501,$B346,$C$2:$C$501,"&lt;&gt;",$A$2:$A$501,"&lt;"&amp;$A346)+COUNTIFS($B$1:$B345,$B346,$C$1:$C345,"&lt;&gt;",$A$1:$A345,$A346)+1)</f>
      </c>
      <c r="E346" s="5">
        <f>IF($D346="","",IF(OR($D346=1,AND(Settings!$B$4="Yes",$D346&lt;=Settings!$B$2)),IF(COUNTIFS(Players!$A$2:$A$101,$B346,Players!$B$2:$B$101,"&lt;&gt;")=0,"Add a starting quota",ROUND(SUMIFS(Players!$B$2:$B$101,Players!$A$2:$A$101,$B346),Settings!$B$3)),ROUND(SUMIFS($C$2:$C$501,$B$2:$B$501,$B346,$D$2:$D$501,"&gt;="&amp;($D346-Settings!$B$2),$D$2:$D$501,"&lt;"&amp;$D346)/COUNTIFS($B$2:$B$501,$B346,$D$2:$D$501,"&gt;="&amp;($D346-Settings!$B$2),$D$2:$D$501,"&lt;"&amp;$D346),Settings!$B$3)))</f>
      </c>
      <c r="F346" s="5">
        <f>IF(ISNUMBER($E346),ROUND($C346-$E346,2),"")</f>
      </c>
      <c r="G346" s="5">
        <f>IF(ISNUMBER($F346),COUNTIFS($A$2:$A$501,$A346,$F$2:$F$501,"&gt;"&amp;$F346)+1,"")</f>
      </c>
    </row>
    <row r="347">
      <c r="A347" s="6"/>
      <c r="D347" s="5">
        <f>IF(OR($A347="",$B347="",$C347=""),"",COUNTIFS($B$2:$B$501,$B347,$C$2:$C$501,"&lt;&gt;",$A$2:$A$501,"&lt;"&amp;$A347)+COUNTIFS($B$1:$B346,$B347,$C$1:$C346,"&lt;&gt;",$A$1:$A346,$A347)+1)</f>
      </c>
      <c r="E347" s="5">
        <f>IF($D347="","",IF(OR($D347=1,AND(Settings!$B$4="Yes",$D347&lt;=Settings!$B$2)),IF(COUNTIFS(Players!$A$2:$A$101,$B347,Players!$B$2:$B$101,"&lt;&gt;")=0,"Add a starting quota",ROUND(SUMIFS(Players!$B$2:$B$101,Players!$A$2:$A$101,$B347),Settings!$B$3)),ROUND(SUMIFS($C$2:$C$501,$B$2:$B$501,$B347,$D$2:$D$501,"&gt;="&amp;($D347-Settings!$B$2),$D$2:$D$501,"&lt;"&amp;$D347)/COUNTIFS($B$2:$B$501,$B347,$D$2:$D$501,"&gt;="&amp;($D347-Settings!$B$2),$D$2:$D$501,"&lt;"&amp;$D347),Settings!$B$3)))</f>
      </c>
      <c r="F347" s="5">
        <f>IF(ISNUMBER($E347),ROUND($C347-$E347,2),"")</f>
      </c>
      <c r="G347" s="5">
        <f>IF(ISNUMBER($F347),COUNTIFS($A$2:$A$501,$A347,$F$2:$F$501,"&gt;"&amp;$F347)+1,"")</f>
      </c>
    </row>
    <row r="348">
      <c r="A348" s="6"/>
      <c r="D348" s="5">
        <f>IF(OR($A348="",$B348="",$C348=""),"",COUNTIFS($B$2:$B$501,$B348,$C$2:$C$501,"&lt;&gt;",$A$2:$A$501,"&lt;"&amp;$A348)+COUNTIFS($B$1:$B347,$B348,$C$1:$C347,"&lt;&gt;",$A$1:$A347,$A348)+1)</f>
      </c>
      <c r="E348" s="5">
        <f>IF($D348="","",IF(OR($D348=1,AND(Settings!$B$4="Yes",$D348&lt;=Settings!$B$2)),IF(COUNTIFS(Players!$A$2:$A$101,$B348,Players!$B$2:$B$101,"&lt;&gt;")=0,"Add a starting quota",ROUND(SUMIFS(Players!$B$2:$B$101,Players!$A$2:$A$101,$B348),Settings!$B$3)),ROUND(SUMIFS($C$2:$C$501,$B$2:$B$501,$B348,$D$2:$D$501,"&gt;="&amp;($D348-Settings!$B$2),$D$2:$D$501,"&lt;"&amp;$D348)/COUNTIFS($B$2:$B$501,$B348,$D$2:$D$501,"&gt;="&amp;($D348-Settings!$B$2),$D$2:$D$501,"&lt;"&amp;$D348),Settings!$B$3)))</f>
      </c>
      <c r="F348" s="5">
        <f>IF(ISNUMBER($E348),ROUND($C348-$E348,2),"")</f>
      </c>
      <c r="G348" s="5">
        <f>IF(ISNUMBER($F348),COUNTIFS($A$2:$A$501,$A348,$F$2:$F$501,"&gt;"&amp;$F348)+1,"")</f>
      </c>
    </row>
    <row r="349">
      <c r="A349" s="6"/>
      <c r="D349" s="5">
        <f>IF(OR($A349="",$B349="",$C349=""),"",COUNTIFS($B$2:$B$501,$B349,$C$2:$C$501,"&lt;&gt;",$A$2:$A$501,"&lt;"&amp;$A349)+COUNTIFS($B$1:$B348,$B349,$C$1:$C348,"&lt;&gt;",$A$1:$A348,$A349)+1)</f>
      </c>
      <c r="E349" s="5">
        <f>IF($D349="","",IF(OR($D349=1,AND(Settings!$B$4="Yes",$D349&lt;=Settings!$B$2)),IF(COUNTIFS(Players!$A$2:$A$101,$B349,Players!$B$2:$B$101,"&lt;&gt;")=0,"Add a starting quota",ROUND(SUMIFS(Players!$B$2:$B$101,Players!$A$2:$A$101,$B349),Settings!$B$3)),ROUND(SUMIFS($C$2:$C$501,$B$2:$B$501,$B349,$D$2:$D$501,"&gt;="&amp;($D349-Settings!$B$2),$D$2:$D$501,"&lt;"&amp;$D349)/COUNTIFS($B$2:$B$501,$B349,$D$2:$D$501,"&gt;="&amp;($D349-Settings!$B$2),$D$2:$D$501,"&lt;"&amp;$D349),Settings!$B$3)))</f>
      </c>
      <c r="F349" s="5">
        <f>IF(ISNUMBER($E349),ROUND($C349-$E349,2),"")</f>
      </c>
      <c r="G349" s="5">
        <f>IF(ISNUMBER($F349),COUNTIFS($A$2:$A$501,$A349,$F$2:$F$501,"&gt;"&amp;$F349)+1,"")</f>
      </c>
    </row>
    <row r="350">
      <c r="A350" s="6"/>
      <c r="D350" s="5">
        <f>IF(OR($A350="",$B350="",$C350=""),"",COUNTIFS($B$2:$B$501,$B350,$C$2:$C$501,"&lt;&gt;",$A$2:$A$501,"&lt;"&amp;$A350)+COUNTIFS($B$1:$B349,$B350,$C$1:$C349,"&lt;&gt;",$A$1:$A349,$A350)+1)</f>
      </c>
      <c r="E350" s="5">
        <f>IF($D350="","",IF(OR($D350=1,AND(Settings!$B$4="Yes",$D350&lt;=Settings!$B$2)),IF(COUNTIFS(Players!$A$2:$A$101,$B350,Players!$B$2:$B$101,"&lt;&gt;")=0,"Add a starting quota",ROUND(SUMIFS(Players!$B$2:$B$101,Players!$A$2:$A$101,$B350),Settings!$B$3)),ROUND(SUMIFS($C$2:$C$501,$B$2:$B$501,$B350,$D$2:$D$501,"&gt;="&amp;($D350-Settings!$B$2),$D$2:$D$501,"&lt;"&amp;$D350)/COUNTIFS($B$2:$B$501,$B350,$D$2:$D$501,"&gt;="&amp;($D350-Settings!$B$2),$D$2:$D$501,"&lt;"&amp;$D350),Settings!$B$3)))</f>
      </c>
      <c r="F350" s="5">
        <f>IF(ISNUMBER($E350),ROUND($C350-$E350,2),"")</f>
      </c>
      <c r="G350" s="5">
        <f>IF(ISNUMBER($F350),COUNTIFS($A$2:$A$501,$A350,$F$2:$F$501,"&gt;"&amp;$F350)+1,"")</f>
      </c>
    </row>
    <row r="351">
      <c r="A351" s="6"/>
      <c r="D351" s="5">
        <f>IF(OR($A351="",$B351="",$C351=""),"",COUNTIFS($B$2:$B$501,$B351,$C$2:$C$501,"&lt;&gt;",$A$2:$A$501,"&lt;"&amp;$A351)+COUNTIFS($B$1:$B350,$B351,$C$1:$C350,"&lt;&gt;",$A$1:$A350,$A351)+1)</f>
      </c>
      <c r="E351" s="5">
        <f>IF($D351="","",IF(OR($D351=1,AND(Settings!$B$4="Yes",$D351&lt;=Settings!$B$2)),IF(COUNTIFS(Players!$A$2:$A$101,$B351,Players!$B$2:$B$101,"&lt;&gt;")=0,"Add a starting quota",ROUND(SUMIFS(Players!$B$2:$B$101,Players!$A$2:$A$101,$B351),Settings!$B$3)),ROUND(SUMIFS($C$2:$C$501,$B$2:$B$501,$B351,$D$2:$D$501,"&gt;="&amp;($D351-Settings!$B$2),$D$2:$D$501,"&lt;"&amp;$D351)/COUNTIFS($B$2:$B$501,$B351,$D$2:$D$501,"&gt;="&amp;($D351-Settings!$B$2),$D$2:$D$501,"&lt;"&amp;$D351),Settings!$B$3)))</f>
      </c>
      <c r="F351" s="5">
        <f>IF(ISNUMBER($E351),ROUND($C351-$E351,2),"")</f>
      </c>
      <c r="G351" s="5">
        <f>IF(ISNUMBER($F351),COUNTIFS($A$2:$A$501,$A351,$F$2:$F$501,"&gt;"&amp;$F351)+1,"")</f>
      </c>
    </row>
    <row r="352">
      <c r="A352" s="6"/>
      <c r="D352" s="5">
        <f>IF(OR($A352="",$B352="",$C352=""),"",COUNTIFS($B$2:$B$501,$B352,$C$2:$C$501,"&lt;&gt;",$A$2:$A$501,"&lt;"&amp;$A352)+COUNTIFS($B$1:$B351,$B352,$C$1:$C351,"&lt;&gt;",$A$1:$A351,$A352)+1)</f>
      </c>
      <c r="E352" s="5">
        <f>IF($D352="","",IF(OR($D352=1,AND(Settings!$B$4="Yes",$D352&lt;=Settings!$B$2)),IF(COUNTIFS(Players!$A$2:$A$101,$B352,Players!$B$2:$B$101,"&lt;&gt;")=0,"Add a starting quota",ROUND(SUMIFS(Players!$B$2:$B$101,Players!$A$2:$A$101,$B352),Settings!$B$3)),ROUND(SUMIFS($C$2:$C$501,$B$2:$B$501,$B352,$D$2:$D$501,"&gt;="&amp;($D352-Settings!$B$2),$D$2:$D$501,"&lt;"&amp;$D352)/COUNTIFS($B$2:$B$501,$B352,$D$2:$D$501,"&gt;="&amp;($D352-Settings!$B$2),$D$2:$D$501,"&lt;"&amp;$D352),Settings!$B$3)))</f>
      </c>
      <c r="F352" s="5">
        <f>IF(ISNUMBER($E352),ROUND($C352-$E352,2),"")</f>
      </c>
      <c r="G352" s="5">
        <f>IF(ISNUMBER($F352),COUNTIFS($A$2:$A$501,$A352,$F$2:$F$501,"&gt;"&amp;$F352)+1,"")</f>
      </c>
    </row>
    <row r="353">
      <c r="A353" s="6"/>
      <c r="D353" s="5">
        <f>IF(OR($A353="",$B353="",$C353=""),"",COUNTIFS($B$2:$B$501,$B353,$C$2:$C$501,"&lt;&gt;",$A$2:$A$501,"&lt;"&amp;$A353)+COUNTIFS($B$1:$B352,$B353,$C$1:$C352,"&lt;&gt;",$A$1:$A352,$A353)+1)</f>
      </c>
      <c r="E353" s="5">
        <f>IF($D353="","",IF(OR($D353=1,AND(Settings!$B$4="Yes",$D353&lt;=Settings!$B$2)),IF(COUNTIFS(Players!$A$2:$A$101,$B353,Players!$B$2:$B$101,"&lt;&gt;")=0,"Add a starting quota",ROUND(SUMIFS(Players!$B$2:$B$101,Players!$A$2:$A$101,$B353),Settings!$B$3)),ROUND(SUMIFS($C$2:$C$501,$B$2:$B$501,$B353,$D$2:$D$501,"&gt;="&amp;($D353-Settings!$B$2),$D$2:$D$501,"&lt;"&amp;$D353)/COUNTIFS($B$2:$B$501,$B353,$D$2:$D$501,"&gt;="&amp;($D353-Settings!$B$2),$D$2:$D$501,"&lt;"&amp;$D353),Settings!$B$3)))</f>
      </c>
      <c r="F353" s="5">
        <f>IF(ISNUMBER($E353),ROUND($C353-$E353,2),"")</f>
      </c>
      <c r="G353" s="5">
        <f>IF(ISNUMBER($F353),COUNTIFS($A$2:$A$501,$A353,$F$2:$F$501,"&gt;"&amp;$F353)+1,"")</f>
      </c>
    </row>
    <row r="354">
      <c r="A354" s="6"/>
      <c r="D354" s="5">
        <f>IF(OR($A354="",$B354="",$C354=""),"",COUNTIFS($B$2:$B$501,$B354,$C$2:$C$501,"&lt;&gt;",$A$2:$A$501,"&lt;"&amp;$A354)+COUNTIFS($B$1:$B353,$B354,$C$1:$C353,"&lt;&gt;",$A$1:$A353,$A354)+1)</f>
      </c>
      <c r="E354" s="5">
        <f>IF($D354="","",IF(OR($D354=1,AND(Settings!$B$4="Yes",$D354&lt;=Settings!$B$2)),IF(COUNTIFS(Players!$A$2:$A$101,$B354,Players!$B$2:$B$101,"&lt;&gt;")=0,"Add a starting quota",ROUND(SUMIFS(Players!$B$2:$B$101,Players!$A$2:$A$101,$B354),Settings!$B$3)),ROUND(SUMIFS($C$2:$C$501,$B$2:$B$501,$B354,$D$2:$D$501,"&gt;="&amp;($D354-Settings!$B$2),$D$2:$D$501,"&lt;"&amp;$D354)/COUNTIFS($B$2:$B$501,$B354,$D$2:$D$501,"&gt;="&amp;($D354-Settings!$B$2),$D$2:$D$501,"&lt;"&amp;$D354),Settings!$B$3)))</f>
      </c>
      <c r="F354" s="5">
        <f>IF(ISNUMBER($E354),ROUND($C354-$E354,2),"")</f>
      </c>
      <c r="G354" s="5">
        <f>IF(ISNUMBER($F354),COUNTIFS($A$2:$A$501,$A354,$F$2:$F$501,"&gt;"&amp;$F354)+1,"")</f>
      </c>
    </row>
    <row r="355">
      <c r="A355" s="6"/>
      <c r="D355" s="5">
        <f>IF(OR($A355="",$B355="",$C355=""),"",COUNTIFS($B$2:$B$501,$B355,$C$2:$C$501,"&lt;&gt;",$A$2:$A$501,"&lt;"&amp;$A355)+COUNTIFS($B$1:$B354,$B355,$C$1:$C354,"&lt;&gt;",$A$1:$A354,$A355)+1)</f>
      </c>
      <c r="E355" s="5">
        <f>IF($D355="","",IF(OR($D355=1,AND(Settings!$B$4="Yes",$D355&lt;=Settings!$B$2)),IF(COUNTIFS(Players!$A$2:$A$101,$B355,Players!$B$2:$B$101,"&lt;&gt;")=0,"Add a starting quota",ROUND(SUMIFS(Players!$B$2:$B$101,Players!$A$2:$A$101,$B355),Settings!$B$3)),ROUND(SUMIFS($C$2:$C$501,$B$2:$B$501,$B355,$D$2:$D$501,"&gt;="&amp;($D355-Settings!$B$2),$D$2:$D$501,"&lt;"&amp;$D355)/COUNTIFS($B$2:$B$501,$B355,$D$2:$D$501,"&gt;="&amp;($D355-Settings!$B$2),$D$2:$D$501,"&lt;"&amp;$D355),Settings!$B$3)))</f>
      </c>
      <c r="F355" s="5">
        <f>IF(ISNUMBER($E355),ROUND($C355-$E355,2),"")</f>
      </c>
      <c r="G355" s="5">
        <f>IF(ISNUMBER($F355),COUNTIFS($A$2:$A$501,$A355,$F$2:$F$501,"&gt;"&amp;$F355)+1,"")</f>
      </c>
    </row>
    <row r="356">
      <c r="A356" s="6"/>
      <c r="D356" s="5">
        <f>IF(OR($A356="",$B356="",$C356=""),"",COUNTIFS($B$2:$B$501,$B356,$C$2:$C$501,"&lt;&gt;",$A$2:$A$501,"&lt;"&amp;$A356)+COUNTIFS($B$1:$B355,$B356,$C$1:$C355,"&lt;&gt;",$A$1:$A355,$A356)+1)</f>
      </c>
      <c r="E356" s="5">
        <f>IF($D356="","",IF(OR($D356=1,AND(Settings!$B$4="Yes",$D356&lt;=Settings!$B$2)),IF(COUNTIFS(Players!$A$2:$A$101,$B356,Players!$B$2:$B$101,"&lt;&gt;")=0,"Add a starting quota",ROUND(SUMIFS(Players!$B$2:$B$101,Players!$A$2:$A$101,$B356),Settings!$B$3)),ROUND(SUMIFS($C$2:$C$501,$B$2:$B$501,$B356,$D$2:$D$501,"&gt;="&amp;($D356-Settings!$B$2),$D$2:$D$501,"&lt;"&amp;$D356)/COUNTIFS($B$2:$B$501,$B356,$D$2:$D$501,"&gt;="&amp;($D356-Settings!$B$2),$D$2:$D$501,"&lt;"&amp;$D356),Settings!$B$3)))</f>
      </c>
      <c r="F356" s="5">
        <f>IF(ISNUMBER($E356),ROUND($C356-$E356,2),"")</f>
      </c>
      <c r="G356" s="5">
        <f>IF(ISNUMBER($F356),COUNTIFS($A$2:$A$501,$A356,$F$2:$F$501,"&gt;"&amp;$F356)+1,"")</f>
      </c>
    </row>
    <row r="357">
      <c r="A357" s="6"/>
      <c r="D357" s="5">
        <f>IF(OR($A357="",$B357="",$C357=""),"",COUNTIFS($B$2:$B$501,$B357,$C$2:$C$501,"&lt;&gt;",$A$2:$A$501,"&lt;"&amp;$A357)+COUNTIFS($B$1:$B356,$B357,$C$1:$C356,"&lt;&gt;",$A$1:$A356,$A357)+1)</f>
      </c>
      <c r="E357" s="5">
        <f>IF($D357="","",IF(OR($D357=1,AND(Settings!$B$4="Yes",$D357&lt;=Settings!$B$2)),IF(COUNTIFS(Players!$A$2:$A$101,$B357,Players!$B$2:$B$101,"&lt;&gt;")=0,"Add a starting quota",ROUND(SUMIFS(Players!$B$2:$B$101,Players!$A$2:$A$101,$B357),Settings!$B$3)),ROUND(SUMIFS($C$2:$C$501,$B$2:$B$501,$B357,$D$2:$D$501,"&gt;="&amp;($D357-Settings!$B$2),$D$2:$D$501,"&lt;"&amp;$D357)/COUNTIFS($B$2:$B$501,$B357,$D$2:$D$501,"&gt;="&amp;($D357-Settings!$B$2),$D$2:$D$501,"&lt;"&amp;$D357),Settings!$B$3)))</f>
      </c>
      <c r="F357" s="5">
        <f>IF(ISNUMBER($E357),ROUND($C357-$E357,2),"")</f>
      </c>
      <c r="G357" s="5">
        <f>IF(ISNUMBER($F357),COUNTIFS($A$2:$A$501,$A357,$F$2:$F$501,"&gt;"&amp;$F357)+1,"")</f>
      </c>
    </row>
    <row r="358">
      <c r="A358" s="6"/>
      <c r="D358" s="5">
        <f>IF(OR($A358="",$B358="",$C358=""),"",COUNTIFS($B$2:$B$501,$B358,$C$2:$C$501,"&lt;&gt;",$A$2:$A$501,"&lt;"&amp;$A358)+COUNTIFS($B$1:$B357,$B358,$C$1:$C357,"&lt;&gt;",$A$1:$A357,$A358)+1)</f>
      </c>
      <c r="E358" s="5">
        <f>IF($D358="","",IF(OR($D358=1,AND(Settings!$B$4="Yes",$D358&lt;=Settings!$B$2)),IF(COUNTIFS(Players!$A$2:$A$101,$B358,Players!$B$2:$B$101,"&lt;&gt;")=0,"Add a starting quota",ROUND(SUMIFS(Players!$B$2:$B$101,Players!$A$2:$A$101,$B358),Settings!$B$3)),ROUND(SUMIFS($C$2:$C$501,$B$2:$B$501,$B358,$D$2:$D$501,"&gt;="&amp;($D358-Settings!$B$2),$D$2:$D$501,"&lt;"&amp;$D358)/COUNTIFS($B$2:$B$501,$B358,$D$2:$D$501,"&gt;="&amp;($D358-Settings!$B$2),$D$2:$D$501,"&lt;"&amp;$D358),Settings!$B$3)))</f>
      </c>
      <c r="F358" s="5">
        <f>IF(ISNUMBER($E358),ROUND($C358-$E358,2),"")</f>
      </c>
      <c r="G358" s="5">
        <f>IF(ISNUMBER($F358),COUNTIFS($A$2:$A$501,$A358,$F$2:$F$501,"&gt;"&amp;$F358)+1,"")</f>
      </c>
    </row>
    <row r="359">
      <c r="A359" s="6"/>
      <c r="D359" s="5">
        <f>IF(OR($A359="",$B359="",$C359=""),"",COUNTIFS($B$2:$B$501,$B359,$C$2:$C$501,"&lt;&gt;",$A$2:$A$501,"&lt;"&amp;$A359)+COUNTIFS($B$1:$B358,$B359,$C$1:$C358,"&lt;&gt;",$A$1:$A358,$A359)+1)</f>
      </c>
      <c r="E359" s="5">
        <f>IF($D359="","",IF(OR($D359=1,AND(Settings!$B$4="Yes",$D359&lt;=Settings!$B$2)),IF(COUNTIFS(Players!$A$2:$A$101,$B359,Players!$B$2:$B$101,"&lt;&gt;")=0,"Add a starting quota",ROUND(SUMIFS(Players!$B$2:$B$101,Players!$A$2:$A$101,$B359),Settings!$B$3)),ROUND(SUMIFS($C$2:$C$501,$B$2:$B$501,$B359,$D$2:$D$501,"&gt;="&amp;($D359-Settings!$B$2),$D$2:$D$501,"&lt;"&amp;$D359)/COUNTIFS($B$2:$B$501,$B359,$D$2:$D$501,"&gt;="&amp;($D359-Settings!$B$2),$D$2:$D$501,"&lt;"&amp;$D359),Settings!$B$3)))</f>
      </c>
      <c r="F359" s="5">
        <f>IF(ISNUMBER($E359),ROUND($C359-$E359,2),"")</f>
      </c>
      <c r="G359" s="5">
        <f>IF(ISNUMBER($F359),COUNTIFS($A$2:$A$501,$A359,$F$2:$F$501,"&gt;"&amp;$F359)+1,"")</f>
      </c>
    </row>
    <row r="360">
      <c r="A360" s="6"/>
      <c r="D360" s="5">
        <f>IF(OR($A360="",$B360="",$C360=""),"",COUNTIFS($B$2:$B$501,$B360,$C$2:$C$501,"&lt;&gt;",$A$2:$A$501,"&lt;"&amp;$A360)+COUNTIFS($B$1:$B359,$B360,$C$1:$C359,"&lt;&gt;",$A$1:$A359,$A360)+1)</f>
      </c>
      <c r="E360" s="5">
        <f>IF($D360="","",IF(OR($D360=1,AND(Settings!$B$4="Yes",$D360&lt;=Settings!$B$2)),IF(COUNTIFS(Players!$A$2:$A$101,$B360,Players!$B$2:$B$101,"&lt;&gt;")=0,"Add a starting quota",ROUND(SUMIFS(Players!$B$2:$B$101,Players!$A$2:$A$101,$B360),Settings!$B$3)),ROUND(SUMIFS($C$2:$C$501,$B$2:$B$501,$B360,$D$2:$D$501,"&gt;="&amp;($D360-Settings!$B$2),$D$2:$D$501,"&lt;"&amp;$D360)/COUNTIFS($B$2:$B$501,$B360,$D$2:$D$501,"&gt;="&amp;($D360-Settings!$B$2),$D$2:$D$501,"&lt;"&amp;$D360),Settings!$B$3)))</f>
      </c>
      <c r="F360" s="5">
        <f>IF(ISNUMBER($E360),ROUND($C360-$E360,2),"")</f>
      </c>
      <c r="G360" s="5">
        <f>IF(ISNUMBER($F360),COUNTIFS($A$2:$A$501,$A360,$F$2:$F$501,"&gt;"&amp;$F360)+1,"")</f>
      </c>
    </row>
    <row r="361">
      <c r="A361" s="6"/>
      <c r="D361" s="5">
        <f>IF(OR($A361="",$B361="",$C361=""),"",COUNTIFS($B$2:$B$501,$B361,$C$2:$C$501,"&lt;&gt;",$A$2:$A$501,"&lt;"&amp;$A361)+COUNTIFS($B$1:$B360,$B361,$C$1:$C360,"&lt;&gt;",$A$1:$A360,$A361)+1)</f>
      </c>
      <c r="E361" s="5">
        <f>IF($D361="","",IF(OR($D361=1,AND(Settings!$B$4="Yes",$D361&lt;=Settings!$B$2)),IF(COUNTIFS(Players!$A$2:$A$101,$B361,Players!$B$2:$B$101,"&lt;&gt;")=0,"Add a starting quota",ROUND(SUMIFS(Players!$B$2:$B$101,Players!$A$2:$A$101,$B361),Settings!$B$3)),ROUND(SUMIFS($C$2:$C$501,$B$2:$B$501,$B361,$D$2:$D$501,"&gt;="&amp;($D361-Settings!$B$2),$D$2:$D$501,"&lt;"&amp;$D361)/COUNTIFS($B$2:$B$501,$B361,$D$2:$D$501,"&gt;="&amp;($D361-Settings!$B$2),$D$2:$D$501,"&lt;"&amp;$D361),Settings!$B$3)))</f>
      </c>
      <c r="F361" s="5">
        <f>IF(ISNUMBER($E361),ROUND($C361-$E361,2),"")</f>
      </c>
      <c r="G361" s="5">
        <f>IF(ISNUMBER($F361),COUNTIFS($A$2:$A$501,$A361,$F$2:$F$501,"&gt;"&amp;$F361)+1,"")</f>
      </c>
    </row>
    <row r="362">
      <c r="A362" s="6"/>
      <c r="D362" s="5">
        <f>IF(OR($A362="",$B362="",$C362=""),"",COUNTIFS($B$2:$B$501,$B362,$C$2:$C$501,"&lt;&gt;",$A$2:$A$501,"&lt;"&amp;$A362)+COUNTIFS($B$1:$B361,$B362,$C$1:$C361,"&lt;&gt;",$A$1:$A361,$A362)+1)</f>
      </c>
      <c r="E362" s="5">
        <f>IF($D362="","",IF(OR($D362=1,AND(Settings!$B$4="Yes",$D362&lt;=Settings!$B$2)),IF(COUNTIFS(Players!$A$2:$A$101,$B362,Players!$B$2:$B$101,"&lt;&gt;")=0,"Add a starting quota",ROUND(SUMIFS(Players!$B$2:$B$101,Players!$A$2:$A$101,$B362),Settings!$B$3)),ROUND(SUMIFS($C$2:$C$501,$B$2:$B$501,$B362,$D$2:$D$501,"&gt;="&amp;($D362-Settings!$B$2),$D$2:$D$501,"&lt;"&amp;$D362)/COUNTIFS($B$2:$B$501,$B362,$D$2:$D$501,"&gt;="&amp;($D362-Settings!$B$2),$D$2:$D$501,"&lt;"&amp;$D362),Settings!$B$3)))</f>
      </c>
      <c r="F362" s="5">
        <f>IF(ISNUMBER($E362),ROUND($C362-$E362,2),"")</f>
      </c>
      <c r="G362" s="5">
        <f>IF(ISNUMBER($F362),COUNTIFS($A$2:$A$501,$A362,$F$2:$F$501,"&gt;"&amp;$F362)+1,"")</f>
      </c>
    </row>
    <row r="363">
      <c r="A363" s="6"/>
      <c r="D363" s="5">
        <f>IF(OR($A363="",$B363="",$C363=""),"",COUNTIFS($B$2:$B$501,$B363,$C$2:$C$501,"&lt;&gt;",$A$2:$A$501,"&lt;"&amp;$A363)+COUNTIFS($B$1:$B362,$B363,$C$1:$C362,"&lt;&gt;",$A$1:$A362,$A363)+1)</f>
      </c>
      <c r="E363" s="5">
        <f>IF($D363="","",IF(OR($D363=1,AND(Settings!$B$4="Yes",$D363&lt;=Settings!$B$2)),IF(COUNTIFS(Players!$A$2:$A$101,$B363,Players!$B$2:$B$101,"&lt;&gt;")=0,"Add a starting quota",ROUND(SUMIFS(Players!$B$2:$B$101,Players!$A$2:$A$101,$B363),Settings!$B$3)),ROUND(SUMIFS($C$2:$C$501,$B$2:$B$501,$B363,$D$2:$D$501,"&gt;="&amp;($D363-Settings!$B$2),$D$2:$D$501,"&lt;"&amp;$D363)/COUNTIFS($B$2:$B$501,$B363,$D$2:$D$501,"&gt;="&amp;($D363-Settings!$B$2),$D$2:$D$501,"&lt;"&amp;$D363),Settings!$B$3)))</f>
      </c>
      <c r="F363" s="5">
        <f>IF(ISNUMBER($E363),ROUND($C363-$E363,2),"")</f>
      </c>
      <c r="G363" s="5">
        <f>IF(ISNUMBER($F363),COUNTIFS($A$2:$A$501,$A363,$F$2:$F$501,"&gt;"&amp;$F363)+1,"")</f>
      </c>
    </row>
    <row r="364">
      <c r="A364" s="6"/>
      <c r="D364" s="5">
        <f>IF(OR($A364="",$B364="",$C364=""),"",COUNTIFS($B$2:$B$501,$B364,$C$2:$C$501,"&lt;&gt;",$A$2:$A$501,"&lt;"&amp;$A364)+COUNTIFS($B$1:$B363,$B364,$C$1:$C363,"&lt;&gt;",$A$1:$A363,$A364)+1)</f>
      </c>
      <c r="E364" s="5">
        <f>IF($D364="","",IF(OR($D364=1,AND(Settings!$B$4="Yes",$D364&lt;=Settings!$B$2)),IF(COUNTIFS(Players!$A$2:$A$101,$B364,Players!$B$2:$B$101,"&lt;&gt;")=0,"Add a starting quota",ROUND(SUMIFS(Players!$B$2:$B$101,Players!$A$2:$A$101,$B364),Settings!$B$3)),ROUND(SUMIFS($C$2:$C$501,$B$2:$B$501,$B364,$D$2:$D$501,"&gt;="&amp;($D364-Settings!$B$2),$D$2:$D$501,"&lt;"&amp;$D364)/COUNTIFS($B$2:$B$501,$B364,$D$2:$D$501,"&gt;="&amp;($D364-Settings!$B$2),$D$2:$D$501,"&lt;"&amp;$D364),Settings!$B$3)))</f>
      </c>
      <c r="F364" s="5">
        <f>IF(ISNUMBER($E364),ROUND($C364-$E364,2),"")</f>
      </c>
      <c r="G364" s="5">
        <f>IF(ISNUMBER($F364),COUNTIFS($A$2:$A$501,$A364,$F$2:$F$501,"&gt;"&amp;$F364)+1,"")</f>
      </c>
    </row>
    <row r="365">
      <c r="A365" s="6"/>
      <c r="D365" s="5">
        <f>IF(OR($A365="",$B365="",$C365=""),"",COUNTIFS($B$2:$B$501,$B365,$C$2:$C$501,"&lt;&gt;",$A$2:$A$501,"&lt;"&amp;$A365)+COUNTIFS($B$1:$B364,$B365,$C$1:$C364,"&lt;&gt;",$A$1:$A364,$A365)+1)</f>
      </c>
      <c r="E365" s="5">
        <f>IF($D365="","",IF(OR($D365=1,AND(Settings!$B$4="Yes",$D365&lt;=Settings!$B$2)),IF(COUNTIFS(Players!$A$2:$A$101,$B365,Players!$B$2:$B$101,"&lt;&gt;")=0,"Add a starting quota",ROUND(SUMIFS(Players!$B$2:$B$101,Players!$A$2:$A$101,$B365),Settings!$B$3)),ROUND(SUMIFS($C$2:$C$501,$B$2:$B$501,$B365,$D$2:$D$501,"&gt;="&amp;($D365-Settings!$B$2),$D$2:$D$501,"&lt;"&amp;$D365)/COUNTIFS($B$2:$B$501,$B365,$D$2:$D$501,"&gt;="&amp;($D365-Settings!$B$2),$D$2:$D$501,"&lt;"&amp;$D365),Settings!$B$3)))</f>
      </c>
      <c r="F365" s="5">
        <f>IF(ISNUMBER($E365),ROUND($C365-$E365,2),"")</f>
      </c>
      <c r="G365" s="5">
        <f>IF(ISNUMBER($F365),COUNTIFS($A$2:$A$501,$A365,$F$2:$F$501,"&gt;"&amp;$F365)+1,"")</f>
      </c>
    </row>
    <row r="366">
      <c r="A366" s="6"/>
      <c r="D366" s="5">
        <f>IF(OR($A366="",$B366="",$C366=""),"",COUNTIFS($B$2:$B$501,$B366,$C$2:$C$501,"&lt;&gt;",$A$2:$A$501,"&lt;"&amp;$A366)+COUNTIFS($B$1:$B365,$B366,$C$1:$C365,"&lt;&gt;",$A$1:$A365,$A366)+1)</f>
      </c>
      <c r="E366" s="5">
        <f>IF($D366="","",IF(OR($D366=1,AND(Settings!$B$4="Yes",$D366&lt;=Settings!$B$2)),IF(COUNTIFS(Players!$A$2:$A$101,$B366,Players!$B$2:$B$101,"&lt;&gt;")=0,"Add a starting quota",ROUND(SUMIFS(Players!$B$2:$B$101,Players!$A$2:$A$101,$B366),Settings!$B$3)),ROUND(SUMIFS($C$2:$C$501,$B$2:$B$501,$B366,$D$2:$D$501,"&gt;="&amp;($D366-Settings!$B$2),$D$2:$D$501,"&lt;"&amp;$D366)/COUNTIFS($B$2:$B$501,$B366,$D$2:$D$501,"&gt;="&amp;($D366-Settings!$B$2),$D$2:$D$501,"&lt;"&amp;$D366),Settings!$B$3)))</f>
      </c>
      <c r="F366" s="5">
        <f>IF(ISNUMBER($E366),ROUND($C366-$E366,2),"")</f>
      </c>
      <c r="G366" s="5">
        <f>IF(ISNUMBER($F366),COUNTIFS($A$2:$A$501,$A366,$F$2:$F$501,"&gt;"&amp;$F366)+1,"")</f>
      </c>
    </row>
    <row r="367">
      <c r="A367" s="6"/>
      <c r="D367" s="5">
        <f>IF(OR($A367="",$B367="",$C367=""),"",COUNTIFS($B$2:$B$501,$B367,$C$2:$C$501,"&lt;&gt;",$A$2:$A$501,"&lt;"&amp;$A367)+COUNTIFS($B$1:$B366,$B367,$C$1:$C366,"&lt;&gt;",$A$1:$A366,$A367)+1)</f>
      </c>
      <c r="E367" s="5">
        <f>IF($D367="","",IF(OR($D367=1,AND(Settings!$B$4="Yes",$D367&lt;=Settings!$B$2)),IF(COUNTIFS(Players!$A$2:$A$101,$B367,Players!$B$2:$B$101,"&lt;&gt;")=0,"Add a starting quota",ROUND(SUMIFS(Players!$B$2:$B$101,Players!$A$2:$A$101,$B367),Settings!$B$3)),ROUND(SUMIFS($C$2:$C$501,$B$2:$B$501,$B367,$D$2:$D$501,"&gt;="&amp;($D367-Settings!$B$2),$D$2:$D$501,"&lt;"&amp;$D367)/COUNTIFS($B$2:$B$501,$B367,$D$2:$D$501,"&gt;="&amp;($D367-Settings!$B$2),$D$2:$D$501,"&lt;"&amp;$D367),Settings!$B$3)))</f>
      </c>
      <c r="F367" s="5">
        <f>IF(ISNUMBER($E367),ROUND($C367-$E367,2),"")</f>
      </c>
      <c r="G367" s="5">
        <f>IF(ISNUMBER($F367),COUNTIFS($A$2:$A$501,$A367,$F$2:$F$501,"&gt;"&amp;$F367)+1,"")</f>
      </c>
    </row>
    <row r="368">
      <c r="A368" s="6"/>
      <c r="D368" s="5">
        <f>IF(OR($A368="",$B368="",$C368=""),"",COUNTIFS($B$2:$B$501,$B368,$C$2:$C$501,"&lt;&gt;",$A$2:$A$501,"&lt;"&amp;$A368)+COUNTIFS($B$1:$B367,$B368,$C$1:$C367,"&lt;&gt;",$A$1:$A367,$A368)+1)</f>
      </c>
      <c r="E368" s="5">
        <f>IF($D368="","",IF(OR($D368=1,AND(Settings!$B$4="Yes",$D368&lt;=Settings!$B$2)),IF(COUNTIFS(Players!$A$2:$A$101,$B368,Players!$B$2:$B$101,"&lt;&gt;")=0,"Add a starting quota",ROUND(SUMIFS(Players!$B$2:$B$101,Players!$A$2:$A$101,$B368),Settings!$B$3)),ROUND(SUMIFS($C$2:$C$501,$B$2:$B$501,$B368,$D$2:$D$501,"&gt;="&amp;($D368-Settings!$B$2),$D$2:$D$501,"&lt;"&amp;$D368)/COUNTIFS($B$2:$B$501,$B368,$D$2:$D$501,"&gt;="&amp;($D368-Settings!$B$2),$D$2:$D$501,"&lt;"&amp;$D368),Settings!$B$3)))</f>
      </c>
      <c r="F368" s="5">
        <f>IF(ISNUMBER($E368),ROUND($C368-$E368,2),"")</f>
      </c>
      <c r="G368" s="5">
        <f>IF(ISNUMBER($F368),COUNTIFS($A$2:$A$501,$A368,$F$2:$F$501,"&gt;"&amp;$F368)+1,"")</f>
      </c>
    </row>
    <row r="369">
      <c r="A369" s="6"/>
      <c r="D369" s="5">
        <f>IF(OR($A369="",$B369="",$C369=""),"",COUNTIFS($B$2:$B$501,$B369,$C$2:$C$501,"&lt;&gt;",$A$2:$A$501,"&lt;"&amp;$A369)+COUNTIFS($B$1:$B368,$B369,$C$1:$C368,"&lt;&gt;",$A$1:$A368,$A369)+1)</f>
      </c>
      <c r="E369" s="5">
        <f>IF($D369="","",IF(OR($D369=1,AND(Settings!$B$4="Yes",$D369&lt;=Settings!$B$2)),IF(COUNTIFS(Players!$A$2:$A$101,$B369,Players!$B$2:$B$101,"&lt;&gt;")=0,"Add a starting quota",ROUND(SUMIFS(Players!$B$2:$B$101,Players!$A$2:$A$101,$B369),Settings!$B$3)),ROUND(SUMIFS($C$2:$C$501,$B$2:$B$501,$B369,$D$2:$D$501,"&gt;="&amp;($D369-Settings!$B$2),$D$2:$D$501,"&lt;"&amp;$D369)/COUNTIFS($B$2:$B$501,$B369,$D$2:$D$501,"&gt;="&amp;($D369-Settings!$B$2),$D$2:$D$501,"&lt;"&amp;$D369),Settings!$B$3)))</f>
      </c>
      <c r="F369" s="5">
        <f>IF(ISNUMBER($E369),ROUND($C369-$E369,2),"")</f>
      </c>
      <c r="G369" s="5">
        <f>IF(ISNUMBER($F369),COUNTIFS($A$2:$A$501,$A369,$F$2:$F$501,"&gt;"&amp;$F369)+1,"")</f>
      </c>
    </row>
    <row r="370">
      <c r="A370" s="6"/>
      <c r="D370" s="5">
        <f>IF(OR($A370="",$B370="",$C370=""),"",COUNTIFS($B$2:$B$501,$B370,$C$2:$C$501,"&lt;&gt;",$A$2:$A$501,"&lt;"&amp;$A370)+COUNTIFS($B$1:$B369,$B370,$C$1:$C369,"&lt;&gt;",$A$1:$A369,$A370)+1)</f>
      </c>
      <c r="E370" s="5">
        <f>IF($D370="","",IF(OR($D370=1,AND(Settings!$B$4="Yes",$D370&lt;=Settings!$B$2)),IF(COUNTIFS(Players!$A$2:$A$101,$B370,Players!$B$2:$B$101,"&lt;&gt;")=0,"Add a starting quota",ROUND(SUMIFS(Players!$B$2:$B$101,Players!$A$2:$A$101,$B370),Settings!$B$3)),ROUND(SUMIFS($C$2:$C$501,$B$2:$B$501,$B370,$D$2:$D$501,"&gt;="&amp;($D370-Settings!$B$2),$D$2:$D$501,"&lt;"&amp;$D370)/COUNTIFS($B$2:$B$501,$B370,$D$2:$D$501,"&gt;="&amp;($D370-Settings!$B$2),$D$2:$D$501,"&lt;"&amp;$D370),Settings!$B$3)))</f>
      </c>
      <c r="F370" s="5">
        <f>IF(ISNUMBER($E370),ROUND($C370-$E370,2),"")</f>
      </c>
      <c r="G370" s="5">
        <f>IF(ISNUMBER($F370),COUNTIFS($A$2:$A$501,$A370,$F$2:$F$501,"&gt;"&amp;$F370)+1,"")</f>
      </c>
    </row>
    <row r="371">
      <c r="A371" s="6"/>
      <c r="D371" s="5">
        <f>IF(OR($A371="",$B371="",$C371=""),"",COUNTIFS($B$2:$B$501,$B371,$C$2:$C$501,"&lt;&gt;",$A$2:$A$501,"&lt;"&amp;$A371)+COUNTIFS($B$1:$B370,$B371,$C$1:$C370,"&lt;&gt;",$A$1:$A370,$A371)+1)</f>
      </c>
      <c r="E371" s="5">
        <f>IF($D371="","",IF(OR($D371=1,AND(Settings!$B$4="Yes",$D371&lt;=Settings!$B$2)),IF(COUNTIFS(Players!$A$2:$A$101,$B371,Players!$B$2:$B$101,"&lt;&gt;")=0,"Add a starting quota",ROUND(SUMIFS(Players!$B$2:$B$101,Players!$A$2:$A$101,$B371),Settings!$B$3)),ROUND(SUMIFS($C$2:$C$501,$B$2:$B$501,$B371,$D$2:$D$501,"&gt;="&amp;($D371-Settings!$B$2),$D$2:$D$501,"&lt;"&amp;$D371)/COUNTIFS($B$2:$B$501,$B371,$D$2:$D$501,"&gt;="&amp;($D371-Settings!$B$2),$D$2:$D$501,"&lt;"&amp;$D371),Settings!$B$3)))</f>
      </c>
      <c r="F371" s="5">
        <f>IF(ISNUMBER($E371),ROUND($C371-$E371,2),"")</f>
      </c>
      <c r="G371" s="5">
        <f>IF(ISNUMBER($F371),COUNTIFS($A$2:$A$501,$A371,$F$2:$F$501,"&gt;"&amp;$F371)+1,"")</f>
      </c>
    </row>
    <row r="372">
      <c r="A372" s="6"/>
      <c r="D372" s="5">
        <f>IF(OR($A372="",$B372="",$C372=""),"",COUNTIFS($B$2:$B$501,$B372,$C$2:$C$501,"&lt;&gt;",$A$2:$A$501,"&lt;"&amp;$A372)+COUNTIFS($B$1:$B371,$B372,$C$1:$C371,"&lt;&gt;",$A$1:$A371,$A372)+1)</f>
      </c>
      <c r="E372" s="5">
        <f>IF($D372="","",IF(OR($D372=1,AND(Settings!$B$4="Yes",$D372&lt;=Settings!$B$2)),IF(COUNTIFS(Players!$A$2:$A$101,$B372,Players!$B$2:$B$101,"&lt;&gt;")=0,"Add a starting quota",ROUND(SUMIFS(Players!$B$2:$B$101,Players!$A$2:$A$101,$B372),Settings!$B$3)),ROUND(SUMIFS($C$2:$C$501,$B$2:$B$501,$B372,$D$2:$D$501,"&gt;="&amp;($D372-Settings!$B$2),$D$2:$D$501,"&lt;"&amp;$D372)/COUNTIFS($B$2:$B$501,$B372,$D$2:$D$501,"&gt;="&amp;($D372-Settings!$B$2),$D$2:$D$501,"&lt;"&amp;$D372),Settings!$B$3)))</f>
      </c>
      <c r="F372" s="5">
        <f>IF(ISNUMBER($E372),ROUND($C372-$E372,2),"")</f>
      </c>
      <c r="G372" s="5">
        <f>IF(ISNUMBER($F372),COUNTIFS($A$2:$A$501,$A372,$F$2:$F$501,"&gt;"&amp;$F372)+1,"")</f>
      </c>
    </row>
    <row r="373">
      <c r="A373" s="6"/>
      <c r="D373" s="5">
        <f>IF(OR($A373="",$B373="",$C373=""),"",COUNTIFS($B$2:$B$501,$B373,$C$2:$C$501,"&lt;&gt;",$A$2:$A$501,"&lt;"&amp;$A373)+COUNTIFS($B$1:$B372,$B373,$C$1:$C372,"&lt;&gt;",$A$1:$A372,$A373)+1)</f>
      </c>
      <c r="E373" s="5">
        <f>IF($D373="","",IF(OR($D373=1,AND(Settings!$B$4="Yes",$D373&lt;=Settings!$B$2)),IF(COUNTIFS(Players!$A$2:$A$101,$B373,Players!$B$2:$B$101,"&lt;&gt;")=0,"Add a starting quota",ROUND(SUMIFS(Players!$B$2:$B$101,Players!$A$2:$A$101,$B373),Settings!$B$3)),ROUND(SUMIFS($C$2:$C$501,$B$2:$B$501,$B373,$D$2:$D$501,"&gt;="&amp;($D373-Settings!$B$2),$D$2:$D$501,"&lt;"&amp;$D373)/COUNTIFS($B$2:$B$501,$B373,$D$2:$D$501,"&gt;="&amp;($D373-Settings!$B$2),$D$2:$D$501,"&lt;"&amp;$D373),Settings!$B$3)))</f>
      </c>
      <c r="F373" s="5">
        <f>IF(ISNUMBER($E373),ROUND($C373-$E373,2),"")</f>
      </c>
      <c r="G373" s="5">
        <f>IF(ISNUMBER($F373),COUNTIFS($A$2:$A$501,$A373,$F$2:$F$501,"&gt;"&amp;$F373)+1,"")</f>
      </c>
    </row>
    <row r="374">
      <c r="A374" s="6"/>
      <c r="D374" s="5">
        <f>IF(OR($A374="",$B374="",$C374=""),"",COUNTIFS($B$2:$B$501,$B374,$C$2:$C$501,"&lt;&gt;",$A$2:$A$501,"&lt;"&amp;$A374)+COUNTIFS($B$1:$B373,$B374,$C$1:$C373,"&lt;&gt;",$A$1:$A373,$A374)+1)</f>
      </c>
      <c r="E374" s="5">
        <f>IF($D374="","",IF(OR($D374=1,AND(Settings!$B$4="Yes",$D374&lt;=Settings!$B$2)),IF(COUNTIFS(Players!$A$2:$A$101,$B374,Players!$B$2:$B$101,"&lt;&gt;")=0,"Add a starting quota",ROUND(SUMIFS(Players!$B$2:$B$101,Players!$A$2:$A$101,$B374),Settings!$B$3)),ROUND(SUMIFS($C$2:$C$501,$B$2:$B$501,$B374,$D$2:$D$501,"&gt;="&amp;($D374-Settings!$B$2),$D$2:$D$501,"&lt;"&amp;$D374)/COUNTIFS($B$2:$B$501,$B374,$D$2:$D$501,"&gt;="&amp;($D374-Settings!$B$2),$D$2:$D$501,"&lt;"&amp;$D374),Settings!$B$3)))</f>
      </c>
      <c r="F374" s="5">
        <f>IF(ISNUMBER($E374),ROUND($C374-$E374,2),"")</f>
      </c>
      <c r="G374" s="5">
        <f>IF(ISNUMBER($F374),COUNTIFS($A$2:$A$501,$A374,$F$2:$F$501,"&gt;"&amp;$F374)+1,"")</f>
      </c>
    </row>
    <row r="375">
      <c r="A375" s="6"/>
      <c r="D375" s="5">
        <f>IF(OR($A375="",$B375="",$C375=""),"",COUNTIFS($B$2:$B$501,$B375,$C$2:$C$501,"&lt;&gt;",$A$2:$A$501,"&lt;"&amp;$A375)+COUNTIFS($B$1:$B374,$B375,$C$1:$C374,"&lt;&gt;",$A$1:$A374,$A375)+1)</f>
      </c>
      <c r="E375" s="5">
        <f>IF($D375="","",IF(OR($D375=1,AND(Settings!$B$4="Yes",$D375&lt;=Settings!$B$2)),IF(COUNTIFS(Players!$A$2:$A$101,$B375,Players!$B$2:$B$101,"&lt;&gt;")=0,"Add a starting quota",ROUND(SUMIFS(Players!$B$2:$B$101,Players!$A$2:$A$101,$B375),Settings!$B$3)),ROUND(SUMIFS($C$2:$C$501,$B$2:$B$501,$B375,$D$2:$D$501,"&gt;="&amp;($D375-Settings!$B$2),$D$2:$D$501,"&lt;"&amp;$D375)/COUNTIFS($B$2:$B$501,$B375,$D$2:$D$501,"&gt;="&amp;($D375-Settings!$B$2),$D$2:$D$501,"&lt;"&amp;$D375),Settings!$B$3)))</f>
      </c>
      <c r="F375" s="5">
        <f>IF(ISNUMBER($E375),ROUND($C375-$E375,2),"")</f>
      </c>
      <c r="G375" s="5">
        <f>IF(ISNUMBER($F375),COUNTIFS($A$2:$A$501,$A375,$F$2:$F$501,"&gt;"&amp;$F375)+1,"")</f>
      </c>
    </row>
    <row r="376">
      <c r="A376" s="6"/>
      <c r="D376" s="5">
        <f>IF(OR($A376="",$B376="",$C376=""),"",COUNTIFS($B$2:$B$501,$B376,$C$2:$C$501,"&lt;&gt;",$A$2:$A$501,"&lt;"&amp;$A376)+COUNTIFS($B$1:$B375,$B376,$C$1:$C375,"&lt;&gt;",$A$1:$A375,$A376)+1)</f>
      </c>
      <c r="E376" s="5">
        <f>IF($D376="","",IF(OR($D376=1,AND(Settings!$B$4="Yes",$D376&lt;=Settings!$B$2)),IF(COUNTIFS(Players!$A$2:$A$101,$B376,Players!$B$2:$B$101,"&lt;&gt;")=0,"Add a starting quota",ROUND(SUMIFS(Players!$B$2:$B$101,Players!$A$2:$A$101,$B376),Settings!$B$3)),ROUND(SUMIFS($C$2:$C$501,$B$2:$B$501,$B376,$D$2:$D$501,"&gt;="&amp;($D376-Settings!$B$2),$D$2:$D$501,"&lt;"&amp;$D376)/COUNTIFS($B$2:$B$501,$B376,$D$2:$D$501,"&gt;="&amp;($D376-Settings!$B$2),$D$2:$D$501,"&lt;"&amp;$D376),Settings!$B$3)))</f>
      </c>
      <c r="F376" s="5">
        <f>IF(ISNUMBER($E376),ROUND($C376-$E376,2),"")</f>
      </c>
      <c r="G376" s="5">
        <f>IF(ISNUMBER($F376),COUNTIFS($A$2:$A$501,$A376,$F$2:$F$501,"&gt;"&amp;$F376)+1,"")</f>
      </c>
    </row>
    <row r="377">
      <c r="A377" s="6"/>
      <c r="D377" s="5">
        <f>IF(OR($A377="",$B377="",$C377=""),"",COUNTIFS($B$2:$B$501,$B377,$C$2:$C$501,"&lt;&gt;",$A$2:$A$501,"&lt;"&amp;$A377)+COUNTIFS($B$1:$B376,$B377,$C$1:$C376,"&lt;&gt;",$A$1:$A376,$A377)+1)</f>
      </c>
      <c r="E377" s="5">
        <f>IF($D377="","",IF(OR($D377=1,AND(Settings!$B$4="Yes",$D377&lt;=Settings!$B$2)),IF(COUNTIFS(Players!$A$2:$A$101,$B377,Players!$B$2:$B$101,"&lt;&gt;")=0,"Add a starting quota",ROUND(SUMIFS(Players!$B$2:$B$101,Players!$A$2:$A$101,$B377),Settings!$B$3)),ROUND(SUMIFS($C$2:$C$501,$B$2:$B$501,$B377,$D$2:$D$501,"&gt;="&amp;($D377-Settings!$B$2),$D$2:$D$501,"&lt;"&amp;$D377)/COUNTIFS($B$2:$B$501,$B377,$D$2:$D$501,"&gt;="&amp;($D377-Settings!$B$2),$D$2:$D$501,"&lt;"&amp;$D377),Settings!$B$3)))</f>
      </c>
      <c r="F377" s="5">
        <f>IF(ISNUMBER($E377),ROUND($C377-$E377,2),"")</f>
      </c>
      <c r="G377" s="5">
        <f>IF(ISNUMBER($F377),COUNTIFS($A$2:$A$501,$A377,$F$2:$F$501,"&gt;"&amp;$F377)+1,"")</f>
      </c>
    </row>
    <row r="378">
      <c r="A378" s="6"/>
      <c r="D378" s="5">
        <f>IF(OR($A378="",$B378="",$C378=""),"",COUNTIFS($B$2:$B$501,$B378,$C$2:$C$501,"&lt;&gt;",$A$2:$A$501,"&lt;"&amp;$A378)+COUNTIFS($B$1:$B377,$B378,$C$1:$C377,"&lt;&gt;",$A$1:$A377,$A378)+1)</f>
      </c>
      <c r="E378" s="5">
        <f>IF($D378="","",IF(OR($D378=1,AND(Settings!$B$4="Yes",$D378&lt;=Settings!$B$2)),IF(COUNTIFS(Players!$A$2:$A$101,$B378,Players!$B$2:$B$101,"&lt;&gt;")=0,"Add a starting quota",ROUND(SUMIFS(Players!$B$2:$B$101,Players!$A$2:$A$101,$B378),Settings!$B$3)),ROUND(SUMIFS($C$2:$C$501,$B$2:$B$501,$B378,$D$2:$D$501,"&gt;="&amp;($D378-Settings!$B$2),$D$2:$D$501,"&lt;"&amp;$D378)/COUNTIFS($B$2:$B$501,$B378,$D$2:$D$501,"&gt;="&amp;($D378-Settings!$B$2),$D$2:$D$501,"&lt;"&amp;$D378),Settings!$B$3)))</f>
      </c>
      <c r="F378" s="5">
        <f>IF(ISNUMBER($E378),ROUND($C378-$E378,2),"")</f>
      </c>
      <c r="G378" s="5">
        <f>IF(ISNUMBER($F378),COUNTIFS($A$2:$A$501,$A378,$F$2:$F$501,"&gt;"&amp;$F378)+1,"")</f>
      </c>
    </row>
    <row r="379">
      <c r="A379" s="6"/>
      <c r="D379" s="5">
        <f>IF(OR($A379="",$B379="",$C379=""),"",COUNTIFS($B$2:$B$501,$B379,$C$2:$C$501,"&lt;&gt;",$A$2:$A$501,"&lt;"&amp;$A379)+COUNTIFS($B$1:$B378,$B379,$C$1:$C378,"&lt;&gt;",$A$1:$A378,$A379)+1)</f>
      </c>
      <c r="E379" s="5">
        <f>IF($D379="","",IF(OR($D379=1,AND(Settings!$B$4="Yes",$D379&lt;=Settings!$B$2)),IF(COUNTIFS(Players!$A$2:$A$101,$B379,Players!$B$2:$B$101,"&lt;&gt;")=0,"Add a starting quota",ROUND(SUMIFS(Players!$B$2:$B$101,Players!$A$2:$A$101,$B379),Settings!$B$3)),ROUND(SUMIFS($C$2:$C$501,$B$2:$B$501,$B379,$D$2:$D$501,"&gt;="&amp;($D379-Settings!$B$2),$D$2:$D$501,"&lt;"&amp;$D379)/COUNTIFS($B$2:$B$501,$B379,$D$2:$D$501,"&gt;="&amp;($D379-Settings!$B$2),$D$2:$D$501,"&lt;"&amp;$D379),Settings!$B$3)))</f>
      </c>
      <c r="F379" s="5">
        <f>IF(ISNUMBER($E379),ROUND($C379-$E379,2),"")</f>
      </c>
      <c r="G379" s="5">
        <f>IF(ISNUMBER($F379),COUNTIFS($A$2:$A$501,$A379,$F$2:$F$501,"&gt;"&amp;$F379)+1,"")</f>
      </c>
    </row>
    <row r="380">
      <c r="A380" s="6"/>
      <c r="D380" s="5">
        <f>IF(OR($A380="",$B380="",$C380=""),"",COUNTIFS($B$2:$B$501,$B380,$C$2:$C$501,"&lt;&gt;",$A$2:$A$501,"&lt;"&amp;$A380)+COUNTIFS($B$1:$B379,$B380,$C$1:$C379,"&lt;&gt;",$A$1:$A379,$A380)+1)</f>
      </c>
      <c r="E380" s="5">
        <f>IF($D380="","",IF(OR($D380=1,AND(Settings!$B$4="Yes",$D380&lt;=Settings!$B$2)),IF(COUNTIFS(Players!$A$2:$A$101,$B380,Players!$B$2:$B$101,"&lt;&gt;")=0,"Add a starting quota",ROUND(SUMIFS(Players!$B$2:$B$101,Players!$A$2:$A$101,$B380),Settings!$B$3)),ROUND(SUMIFS($C$2:$C$501,$B$2:$B$501,$B380,$D$2:$D$501,"&gt;="&amp;($D380-Settings!$B$2),$D$2:$D$501,"&lt;"&amp;$D380)/COUNTIFS($B$2:$B$501,$B380,$D$2:$D$501,"&gt;="&amp;($D380-Settings!$B$2),$D$2:$D$501,"&lt;"&amp;$D380),Settings!$B$3)))</f>
      </c>
      <c r="F380" s="5">
        <f>IF(ISNUMBER($E380),ROUND($C380-$E380,2),"")</f>
      </c>
      <c r="G380" s="5">
        <f>IF(ISNUMBER($F380),COUNTIFS($A$2:$A$501,$A380,$F$2:$F$501,"&gt;"&amp;$F380)+1,"")</f>
      </c>
    </row>
    <row r="381">
      <c r="A381" s="6"/>
      <c r="D381" s="5">
        <f>IF(OR($A381="",$B381="",$C381=""),"",COUNTIFS($B$2:$B$501,$B381,$C$2:$C$501,"&lt;&gt;",$A$2:$A$501,"&lt;"&amp;$A381)+COUNTIFS($B$1:$B380,$B381,$C$1:$C380,"&lt;&gt;",$A$1:$A380,$A381)+1)</f>
      </c>
      <c r="E381" s="5">
        <f>IF($D381="","",IF(OR($D381=1,AND(Settings!$B$4="Yes",$D381&lt;=Settings!$B$2)),IF(COUNTIFS(Players!$A$2:$A$101,$B381,Players!$B$2:$B$101,"&lt;&gt;")=0,"Add a starting quota",ROUND(SUMIFS(Players!$B$2:$B$101,Players!$A$2:$A$101,$B381),Settings!$B$3)),ROUND(SUMIFS($C$2:$C$501,$B$2:$B$501,$B381,$D$2:$D$501,"&gt;="&amp;($D381-Settings!$B$2),$D$2:$D$501,"&lt;"&amp;$D381)/COUNTIFS($B$2:$B$501,$B381,$D$2:$D$501,"&gt;="&amp;($D381-Settings!$B$2),$D$2:$D$501,"&lt;"&amp;$D381),Settings!$B$3)))</f>
      </c>
      <c r="F381" s="5">
        <f>IF(ISNUMBER($E381),ROUND($C381-$E381,2),"")</f>
      </c>
      <c r="G381" s="5">
        <f>IF(ISNUMBER($F381),COUNTIFS($A$2:$A$501,$A381,$F$2:$F$501,"&gt;"&amp;$F381)+1,"")</f>
      </c>
    </row>
    <row r="382">
      <c r="A382" s="6"/>
      <c r="D382" s="5">
        <f>IF(OR($A382="",$B382="",$C382=""),"",COUNTIFS($B$2:$B$501,$B382,$C$2:$C$501,"&lt;&gt;",$A$2:$A$501,"&lt;"&amp;$A382)+COUNTIFS($B$1:$B381,$B382,$C$1:$C381,"&lt;&gt;",$A$1:$A381,$A382)+1)</f>
      </c>
      <c r="E382" s="5">
        <f>IF($D382="","",IF(OR($D382=1,AND(Settings!$B$4="Yes",$D382&lt;=Settings!$B$2)),IF(COUNTIFS(Players!$A$2:$A$101,$B382,Players!$B$2:$B$101,"&lt;&gt;")=0,"Add a starting quota",ROUND(SUMIFS(Players!$B$2:$B$101,Players!$A$2:$A$101,$B382),Settings!$B$3)),ROUND(SUMIFS($C$2:$C$501,$B$2:$B$501,$B382,$D$2:$D$501,"&gt;="&amp;($D382-Settings!$B$2),$D$2:$D$501,"&lt;"&amp;$D382)/COUNTIFS($B$2:$B$501,$B382,$D$2:$D$501,"&gt;="&amp;($D382-Settings!$B$2),$D$2:$D$501,"&lt;"&amp;$D382),Settings!$B$3)))</f>
      </c>
      <c r="F382" s="5">
        <f>IF(ISNUMBER($E382),ROUND($C382-$E382,2),"")</f>
      </c>
      <c r="G382" s="5">
        <f>IF(ISNUMBER($F382),COUNTIFS($A$2:$A$501,$A382,$F$2:$F$501,"&gt;"&amp;$F382)+1,"")</f>
      </c>
    </row>
    <row r="383">
      <c r="A383" s="6"/>
      <c r="D383" s="5">
        <f>IF(OR($A383="",$B383="",$C383=""),"",COUNTIFS($B$2:$B$501,$B383,$C$2:$C$501,"&lt;&gt;",$A$2:$A$501,"&lt;"&amp;$A383)+COUNTIFS($B$1:$B382,$B383,$C$1:$C382,"&lt;&gt;",$A$1:$A382,$A383)+1)</f>
      </c>
      <c r="E383" s="5">
        <f>IF($D383="","",IF(OR($D383=1,AND(Settings!$B$4="Yes",$D383&lt;=Settings!$B$2)),IF(COUNTIFS(Players!$A$2:$A$101,$B383,Players!$B$2:$B$101,"&lt;&gt;")=0,"Add a starting quota",ROUND(SUMIFS(Players!$B$2:$B$101,Players!$A$2:$A$101,$B383),Settings!$B$3)),ROUND(SUMIFS($C$2:$C$501,$B$2:$B$501,$B383,$D$2:$D$501,"&gt;="&amp;($D383-Settings!$B$2),$D$2:$D$501,"&lt;"&amp;$D383)/COUNTIFS($B$2:$B$501,$B383,$D$2:$D$501,"&gt;="&amp;($D383-Settings!$B$2),$D$2:$D$501,"&lt;"&amp;$D383),Settings!$B$3)))</f>
      </c>
      <c r="F383" s="5">
        <f>IF(ISNUMBER($E383),ROUND($C383-$E383,2),"")</f>
      </c>
      <c r="G383" s="5">
        <f>IF(ISNUMBER($F383),COUNTIFS($A$2:$A$501,$A383,$F$2:$F$501,"&gt;"&amp;$F383)+1,"")</f>
      </c>
    </row>
    <row r="384">
      <c r="A384" s="6"/>
      <c r="D384" s="5">
        <f>IF(OR($A384="",$B384="",$C384=""),"",COUNTIFS($B$2:$B$501,$B384,$C$2:$C$501,"&lt;&gt;",$A$2:$A$501,"&lt;"&amp;$A384)+COUNTIFS($B$1:$B383,$B384,$C$1:$C383,"&lt;&gt;",$A$1:$A383,$A384)+1)</f>
      </c>
      <c r="E384" s="5">
        <f>IF($D384="","",IF(OR($D384=1,AND(Settings!$B$4="Yes",$D384&lt;=Settings!$B$2)),IF(COUNTIFS(Players!$A$2:$A$101,$B384,Players!$B$2:$B$101,"&lt;&gt;")=0,"Add a starting quota",ROUND(SUMIFS(Players!$B$2:$B$101,Players!$A$2:$A$101,$B384),Settings!$B$3)),ROUND(SUMIFS($C$2:$C$501,$B$2:$B$501,$B384,$D$2:$D$501,"&gt;="&amp;($D384-Settings!$B$2),$D$2:$D$501,"&lt;"&amp;$D384)/COUNTIFS($B$2:$B$501,$B384,$D$2:$D$501,"&gt;="&amp;($D384-Settings!$B$2),$D$2:$D$501,"&lt;"&amp;$D384),Settings!$B$3)))</f>
      </c>
      <c r="F384" s="5">
        <f>IF(ISNUMBER($E384),ROUND($C384-$E384,2),"")</f>
      </c>
      <c r="G384" s="5">
        <f>IF(ISNUMBER($F384),COUNTIFS($A$2:$A$501,$A384,$F$2:$F$501,"&gt;"&amp;$F384)+1,"")</f>
      </c>
    </row>
    <row r="385">
      <c r="A385" s="6"/>
      <c r="D385" s="5">
        <f>IF(OR($A385="",$B385="",$C385=""),"",COUNTIFS($B$2:$B$501,$B385,$C$2:$C$501,"&lt;&gt;",$A$2:$A$501,"&lt;"&amp;$A385)+COUNTIFS($B$1:$B384,$B385,$C$1:$C384,"&lt;&gt;",$A$1:$A384,$A385)+1)</f>
      </c>
      <c r="E385" s="5">
        <f>IF($D385="","",IF(OR($D385=1,AND(Settings!$B$4="Yes",$D385&lt;=Settings!$B$2)),IF(COUNTIFS(Players!$A$2:$A$101,$B385,Players!$B$2:$B$101,"&lt;&gt;")=0,"Add a starting quota",ROUND(SUMIFS(Players!$B$2:$B$101,Players!$A$2:$A$101,$B385),Settings!$B$3)),ROUND(SUMIFS($C$2:$C$501,$B$2:$B$501,$B385,$D$2:$D$501,"&gt;="&amp;($D385-Settings!$B$2),$D$2:$D$501,"&lt;"&amp;$D385)/COUNTIFS($B$2:$B$501,$B385,$D$2:$D$501,"&gt;="&amp;($D385-Settings!$B$2),$D$2:$D$501,"&lt;"&amp;$D385),Settings!$B$3)))</f>
      </c>
      <c r="F385" s="5">
        <f>IF(ISNUMBER($E385),ROUND($C385-$E385,2),"")</f>
      </c>
      <c r="G385" s="5">
        <f>IF(ISNUMBER($F385),COUNTIFS($A$2:$A$501,$A385,$F$2:$F$501,"&gt;"&amp;$F385)+1,"")</f>
      </c>
    </row>
    <row r="386">
      <c r="A386" s="6"/>
      <c r="D386" s="5">
        <f>IF(OR($A386="",$B386="",$C386=""),"",COUNTIFS($B$2:$B$501,$B386,$C$2:$C$501,"&lt;&gt;",$A$2:$A$501,"&lt;"&amp;$A386)+COUNTIFS($B$1:$B385,$B386,$C$1:$C385,"&lt;&gt;",$A$1:$A385,$A386)+1)</f>
      </c>
      <c r="E386" s="5">
        <f>IF($D386="","",IF(OR($D386=1,AND(Settings!$B$4="Yes",$D386&lt;=Settings!$B$2)),IF(COUNTIFS(Players!$A$2:$A$101,$B386,Players!$B$2:$B$101,"&lt;&gt;")=0,"Add a starting quota",ROUND(SUMIFS(Players!$B$2:$B$101,Players!$A$2:$A$101,$B386),Settings!$B$3)),ROUND(SUMIFS($C$2:$C$501,$B$2:$B$501,$B386,$D$2:$D$501,"&gt;="&amp;($D386-Settings!$B$2),$D$2:$D$501,"&lt;"&amp;$D386)/COUNTIFS($B$2:$B$501,$B386,$D$2:$D$501,"&gt;="&amp;($D386-Settings!$B$2),$D$2:$D$501,"&lt;"&amp;$D386),Settings!$B$3)))</f>
      </c>
      <c r="F386" s="5">
        <f>IF(ISNUMBER($E386),ROUND($C386-$E386,2),"")</f>
      </c>
      <c r="G386" s="5">
        <f>IF(ISNUMBER($F386),COUNTIFS($A$2:$A$501,$A386,$F$2:$F$501,"&gt;"&amp;$F386)+1,"")</f>
      </c>
    </row>
    <row r="387">
      <c r="A387" s="6"/>
      <c r="D387" s="5">
        <f>IF(OR($A387="",$B387="",$C387=""),"",COUNTIFS($B$2:$B$501,$B387,$C$2:$C$501,"&lt;&gt;",$A$2:$A$501,"&lt;"&amp;$A387)+COUNTIFS($B$1:$B386,$B387,$C$1:$C386,"&lt;&gt;",$A$1:$A386,$A387)+1)</f>
      </c>
      <c r="E387" s="5">
        <f>IF($D387="","",IF(OR($D387=1,AND(Settings!$B$4="Yes",$D387&lt;=Settings!$B$2)),IF(COUNTIFS(Players!$A$2:$A$101,$B387,Players!$B$2:$B$101,"&lt;&gt;")=0,"Add a starting quota",ROUND(SUMIFS(Players!$B$2:$B$101,Players!$A$2:$A$101,$B387),Settings!$B$3)),ROUND(SUMIFS($C$2:$C$501,$B$2:$B$501,$B387,$D$2:$D$501,"&gt;="&amp;($D387-Settings!$B$2),$D$2:$D$501,"&lt;"&amp;$D387)/COUNTIFS($B$2:$B$501,$B387,$D$2:$D$501,"&gt;="&amp;($D387-Settings!$B$2),$D$2:$D$501,"&lt;"&amp;$D387),Settings!$B$3)))</f>
      </c>
      <c r="F387" s="5">
        <f>IF(ISNUMBER($E387),ROUND($C387-$E387,2),"")</f>
      </c>
      <c r="G387" s="5">
        <f>IF(ISNUMBER($F387),COUNTIFS($A$2:$A$501,$A387,$F$2:$F$501,"&gt;"&amp;$F387)+1,"")</f>
      </c>
    </row>
    <row r="388">
      <c r="A388" s="6"/>
      <c r="D388" s="5">
        <f>IF(OR($A388="",$B388="",$C388=""),"",COUNTIFS($B$2:$B$501,$B388,$C$2:$C$501,"&lt;&gt;",$A$2:$A$501,"&lt;"&amp;$A388)+COUNTIFS($B$1:$B387,$B388,$C$1:$C387,"&lt;&gt;",$A$1:$A387,$A388)+1)</f>
      </c>
      <c r="E388" s="5">
        <f>IF($D388="","",IF(OR($D388=1,AND(Settings!$B$4="Yes",$D388&lt;=Settings!$B$2)),IF(COUNTIFS(Players!$A$2:$A$101,$B388,Players!$B$2:$B$101,"&lt;&gt;")=0,"Add a starting quota",ROUND(SUMIFS(Players!$B$2:$B$101,Players!$A$2:$A$101,$B388),Settings!$B$3)),ROUND(SUMIFS($C$2:$C$501,$B$2:$B$501,$B388,$D$2:$D$501,"&gt;="&amp;($D388-Settings!$B$2),$D$2:$D$501,"&lt;"&amp;$D388)/COUNTIFS($B$2:$B$501,$B388,$D$2:$D$501,"&gt;="&amp;($D388-Settings!$B$2),$D$2:$D$501,"&lt;"&amp;$D388),Settings!$B$3)))</f>
      </c>
      <c r="F388" s="5">
        <f>IF(ISNUMBER($E388),ROUND($C388-$E388,2),"")</f>
      </c>
      <c r="G388" s="5">
        <f>IF(ISNUMBER($F388),COUNTIFS($A$2:$A$501,$A388,$F$2:$F$501,"&gt;"&amp;$F388)+1,"")</f>
      </c>
    </row>
    <row r="389">
      <c r="A389" s="6"/>
      <c r="D389" s="5">
        <f>IF(OR($A389="",$B389="",$C389=""),"",COUNTIFS($B$2:$B$501,$B389,$C$2:$C$501,"&lt;&gt;",$A$2:$A$501,"&lt;"&amp;$A389)+COUNTIFS($B$1:$B388,$B389,$C$1:$C388,"&lt;&gt;",$A$1:$A388,$A389)+1)</f>
      </c>
      <c r="E389" s="5">
        <f>IF($D389="","",IF(OR($D389=1,AND(Settings!$B$4="Yes",$D389&lt;=Settings!$B$2)),IF(COUNTIFS(Players!$A$2:$A$101,$B389,Players!$B$2:$B$101,"&lt;&gt;")=0,"Add a starting quota",ROUND(SUMIFS(Players!$B$2:$B$101,Players!$A$2:$A$101,$B389),Settings!$B$3)),ROUND(SUMIFS($C$2:$C$501,$B$2:$B$501,$B389,$D$2:$D$501,"&gt;="&amp;($D389-Settings!$B$2),$D$2:$D$501,"&lt;"&amp;$D389)/COUNTIFS($B$2:$B$501,$B389,$D$2:$D$501,"&gt;="&amp;($D389-Settings!$B$2),$D$2:$D$501,"&lt;"&amp;$D389),Settings!$B$3)))</f>
      </c>
      <c r="F389" s="5">
        <f>IF(ISNUMBER($E389),ROUND($C389-$E389,2),"")</f>
      </c>
      <c r="G389" s="5">
        <f>IF(ISNUMBER($F389),COUNTIFS($A$2:$A$501,$A389,$F$2:$F$501,"&gt;"&amp;$F389)+1,"")</f>
      </c>
    </row>
    <row r="390">
      <c r="A390" s="6"/>
      <c r="D390" s="5">
        <f>IF(OR($A390="",$B390="",$C390=""),"",COUNTIFS($B$2:$B$501,$B390,$C$2:$C$501,"&lt;&gt;",$A$2:$A$501,"&lt;"&amp;$A390)+COUNTIFS($B$1:$B389,$B390,$C$1:$C389,"&lt;&gt;",$A$1:$A389,$A390)+1)</f>
      </c>
      <c r="E390" s="5">
        <f>IF($D390="","",IF(OR($D390=1,AND(Settings!$B$4="Yes",$D390&lt;=Settings!$B$2)),IF(COUNTIFS(Players!$A$2:$A$101,$B390,Players!$B$2:$B$101,"&lt;&gt;")=0,"Add a starting quota",ROUND(SUMIFS(Players!$B$2:$B$101,Players!$A$2:$A$101,$B390),Settings!$B$3)),ROUND(SUMIFS($C$2:$C$501,$B$2:$B$501,$B390,$D$2:$D$501,"&gt;="&amp;($D390-Settings!$B$2),$D$2:$D$501,"&lt;"&amp;$D390)/COUNTIFS($B$2:$B$501,$B390,$D$2:$D$501,"&gt;="&amp;($D390-Settings!$B$2),$D$2:$D$501,"&lt;"&amp;$D390),Settings!$B$3)))</f>
      </c>
      <c r="F390" s="5">
        <f>IF(ISNUMBER($E390),ROUND($C390-$E390,2),"")</f>
      </c>
      <c r="G390" s="5">
        <f>IF(ISNUMBER($F390),COUNTIFS($A$2:$A$501,$A390,$F$2:$F$501,"&gt;"&amp;$F390)+1,"")</f>
      </c>
    </row>
    <row r="391">
      <c r="A391" s="6"/>
      <c r="D391" s="5">
        <f>IF(OR($A391="",$B391="",$C391=""),"",COUNTIFS($B$2:$B$501,$B391,$C$2:$C$501,"&lt;&gt;",$A$2:$A$501,"&lt;"&amp;$A391)+COUNTIFS($B$1:$B390,$B391,$C$1:$C390,"&lt;&gt;",$A$1:$A390,$A391)+1)</f>
      </c>
      <c r="E391" s="5">
        <f>IF($D391="","",IF(OR($D391=1,AND(Settings!$B$4="Yes",$D391&lt;=Settings!$B$2)),IF(COUNTIFS(Players!$A$2:$A$101,$B391,Players!$B$2:$B$101,"&lt;&gt;")=0,"Add a starting quota",ROUND(SUMIFS(Players!$B$2:$B$101,Players!$A$2:$A$101,$B391),Settings!$B$3)),ROUND(SUMIFS($C$2:$C$501,$B$2:$B$501,$B391,$D$2:$D$501,"&gt;="&amp;($D391-Settings!$B$2),$D$2:$D$501,"&lt;"&amp;$D391)/COUNTIFS($B$2:$B$501,$B391,$D$2:$D$501,"&gt;="&amp;($D391-Settings!$B$2),$D$2:$D$501,"&lt;"&amp;$D391),Settings!$B$3)))</f>
      </c>
      <c r="F391" s="5">
        <f>IF(ISNUMBER($E391),ROUND($C391-$E391,2),"")</f>
      </c>
      <c r="G391" s="5">
        <f>IF(ISNUMBER($F391),COUNTIFS($A$2:$A$501,$A391,$F$2:$F$501,"&gt;"&amp;$F391)+1,"")</f>
      </c>
    </row>
    <row r="392">
      <c r="A392" s="6"/>
      <c r="D392" s="5">
        <f>IF(OR($A392="",$B392="",$C392=""),"",COUNTIFS($B$2:$B$501,$B392,$C$2:$C$501,"&lt;&gt;",$A$2:$A$501,"&lt;"&amp;$A392)+COUNTIFS($B$1:$B391,$B392,$C$1:$C391,"&lt;&gt;",$A$1:$A391,$A392)+1)</f>
      </c>
      <c r="E392" s="5">
        <f>IF($D392="","",IF(OR($D392=1,AND(Settings!$B$4="Yes",$D392&lt;=Settings!$B$2)),IF(COUNTIFS(Players!$A$2:$A$101,$B392,Players!$B$2:$B$101,"&lt;&gt;")=0,"Add a starting quota",ROUND(SUMIFS(Players!$B$2:$B$101,Players!$A$2:$A$101,$B392),Settings!$B$3)),ROUND(SUMIFS($C$2:$C$501,$B$2:$B$501,$B392,$D$2:$D$501,"&gt;="&amp;($D392-Settings!$B$2),$D$2:$D$501,"&lt;"&amp;$D392)/COUNTIFS($B$2:$B$501,$B392,$D$2:$D$501,"&gt;="&amp;($D392-Settings!$B$2),$D$2:$D$501,"&lt;"&amp;$D392),Settings!$B$3)))</f>
      </c>
      <c r="F392" s="5">
        <f>IF(ISNUMBER($E392),ROUND($C392-$E392,2),"")</f>
      </c>
      <c r="G392" s="5">
        <f>IF(ISNUMBER($F392),COUNTIFS($A$2:$A$501,$A392,$F$2:$F$501,"&gt;"&amp;$F392)+1,"")</f>
      </c>
    </row>
    <row r="393">
      <c r="A393" s="6"/>
      <c r="D393" s="5">
        <f>IF(OR($A393="",$B393="",$C393=""),"",COUNTIFS($B$2:$B$501,$B393,$C$2:$C$501,"&lt;&gt;",$A$2:$A$501,"&lt;"&amp;$A393)+COUNTIFS($B$1:$B392,$B393,$C$1:$C392,"&lt;&gt;",$A$1:$A392,$A393)+1)</f>
      </c>
      <c r="E393" s="5">
        <f>IF($D393="","",IF(OR($D393=1,AND(Settings!$B$4="Yes",$D393&lt;=Settings!$B$2)),IF(COUNTIFS(Players!$A$2:$A$101,$B393,Players!$B$2:$B$101,"&lt;&gt;")=0,"Add a starting quota",ROUND(SUMIFS(Players!$B$2:$B$101,Players!$A$2:$A$101,$B393),Settings!$B$3)),ROUND(SUMIFS($C$2:$C$501,$B$2:$B$501,$B393,$D$2:$D$501,"&gt;="&amp;($D393-Settings!$B$2),$D$2:$D$501,"&lt;"&amp;$D393)/COUNTIFS($B$2:$B$501,$B393,$D$2:$D$501,"&gt;="&amp;($D393-Settings!$B$2),$D$2:$D$501,"&lt;"&amp;$D393),Settings!$B$3)))</f>
      </c>
      <c r="F393" s="5">
        <f>IF(ISNUMBER($E393),ROUND($C393-$E393,2),"")</f>
      </c>
      <c r="G393" s="5">
        <f>IF(ISNUMBER($F393),COUNTIFS($A$2:$A$501,$A393,$F$2:$F$501,"&gt;"&amp;$F393)+1,"")</f>
      </c>
    </row>
    <row r="394">
      <c r="A394" s="6"/>
      <c r="D394" s="5">
        <f>IF(OR($A394="",$B394="",$C394=""),"",COUNTIFS($B$2:$B$501,$B394,$C$2:$C$501,"&lt;&gt;",$A$2:$A$501,"&lt;"&amp;$A394)+COUNTIFS($B$1:$B393,$B394,$C$1:$C393,"&lt;&gt;",$A$1:$A393,$A394)+1)</f>
      </c>
      <c r="E394" s="5">
        <f>IF($D394="","",IF(OR($D394=1,AND(Settings!$B$4="Yes",$D394&lt;=Settings!$B$2)),IF(COUNTIFS(Players!$A$2:$A$101,$B394,Players!$B$2:$B$101,"&lt;&gt;")=0,"Add a starting quota",ROUND(SUMIFS(Players!$B$2:$B$101,Players!$A$2:$A$101,$B394),Settings!$B$3)),ROUND(SUMIFS($C$2:$C$501,$B$2:$B$501,$B394,$D$2:$D$501,"&gt;="&amp;($D394-Settings!$B$2),$D$2:$D$501,"&lt;"&amp;$D394)/COUNTIFS($B$2:$B$501,$B394,$D$2:$D$501,"&gt;="&amp;($D394-Settings!$B$2),$D$2:$D$501,"&lt;"&amp;$D394),Settings!$B$3)))</f>
      </c>
      <c r="F394" s="5">
        <f>IF(ISNUMBER($E394),ROUND($C394-$E394,2),"")</f>
      </c>
      <c r="G394" s="5">
        <f>IF(ISNUMBER($F394),COUNTIFS($A$2:$A$501,$A394,$F$2:$F$501,"&gt;"&amp;$F394)+1,"")</f>
      </c>
    </row>
    <row r="395">
      <c r="A395" s="6"/>
      <c r="D395" s="5">
        <f>IF(OR($A395="",$B395="",$C395=""),"",COUNTIFS($B$2:$B$501,$B395,$C$2:$C$501,"&lt;&gt;",$A$2:$A$501,"&lt;"&amp;$A395)+COUNTIFS($B$1:$B394,$B395,$C$1:$C394,"&lt;&gt;",$A$1:$A394,$A395)+1)</f>
      </c>
      <c r="E395" s="5">
        <f>IF($D395="","",IF(OR($D395=1,AND(Settings!$B$4="Yes",$D395&lt;=Settings!$B$2)),IF(COUNTIFS(Players!$A$2:$A$101,$B395,Players!$B$2:$B$101,"&lt;&gt;")=0,"Add a starting quota",ROUND(SUMIFS(Players!$B$2:$B$101,Players!$A$2:$A$101,$B395),Settings!$B$3)),ROUND(SUMIFS($C$2:$C$501,$B$2:$B$501,$B395,$D$2:$D$501,"&gt;="&amp;($D395-Settings!$B$2),$D$2:$D$501,"&lt;"&amp;$D395)/COUNTIFS($B$2:$B$501,$B395,$D$2:$D$501,"&gt;="&amp;($D395-Settings!$B$2),$D$2:$D$501,"&lt;"&amp;$D395),Settings!$B$3)))</f>
      </c>
      <c r="F395" s="5">
        <f>IF(ISNUMBER($E395),ROUND($C395-$E395,2),"")</f>
      </c>
      <c r="G395" s="5">
        <f>IF(ISNUMBER($F395),COUNTIFS($A$2:$A$501,$A395,$F$2:$F$501,"&gt;"&amp;$F395)+1,"")</f>
      </c>
    </row>
    <row r="396">
      <c r="A396" s="6"/>
      <c r="D396" s="5">
        <f>IF(OR($A396="",$B396="",$C396=""),"",COUNTIFS($B$2:$B$501,$B396,$C$2:$C$501,"&lt;&gt;",$A$2:$A$501,"&lt;"&amp;$A396)+COUNTIFS($B$1:$B395,$B396,$C$1:$C395,"&lt;&gt;",$A$1:$A395,$A396)+1)</f>
      </c>
      <c r="E396" s="5">
        <f>IF($D396="","",IF(OR($D396=1,AND(Settings!$B$4="Yes",$D396&lt;=Settings!$B$2)),IF(COUNTIFS(Players!$A$2:$A$101,$B396,Players!$B$2:$B$101,"&lt;&gt;")=0,"Add a starting quota",ROUND(SUMIFS(Players!$B$2:$B$101,Players!$A$2:$A$101,$B396),Settings!$B$3)),ROUND(SUMIFS($C$2:$C$501,$B$2:$B$501,$B396,$D$2:$D$501,"&gt;="&amp;($D396-Settings!$B$2),$D$2:$D$501,"&lt;"&amp;$D396)/COUNTIFS($B$2:$B$501,$B396,$D$2:$D$501,"&gt;="&amp;($D396-Settings!$B$2),$D$2:$D$501,"&lt;"&amp;$D396),Settings!$B$3)))</f>
      </c>
      <c r="F396" s="5">
        <f>IF(ISNUMBER($E396),ROUND($C396-$E396,2),"")</f>
      </c>
      <c r="G396" s="5">
        <f>IF(ISNUMBER($F396),COUNTIFS($A$2:$A$501,$A396,$F$2:$F$501,"&gt;"&amp;$F396)+1,"")</f>
      </c>
    </row>
    <row r="397">
      <c r="A397" s="6"/>
      <c r="D397" s="5">
        <f>IF(OR($A397="",$B397="",$C397=""),"",COUNTIFS($B$2:$B$501,$B397,$C$2:$C$501,"&lt;&gt;",$A$2:$A$501,"&lt;"&amp;$A397)+COUNTIFS($B$1:$B396,$B397,$C$1:$C396,"&lt;&gt;",$A$1:$A396,$A397)+1)</f>
      </c>
      <c r="E397" s="5">
        <f>IF($D397="","",IF(OR($D397=1,AND(Settings!$B$4="Yes",$D397&lt;=Settings!$B$2)),IF(COUNTIFS(Players!$A$2:$A$101,$B397,Players!$B$2:$B$101,"&lt;&gt;")=0,"Add a starting quota",ROUND(SUMIFS(Players!$B$2:$B$101,Players!$A$2:$A$101,$B397),Settings!$B$3)),ROUND(SUMIFS($C$2:$C$501,$B$2:$B$501,$B397,$D$2:$D$501,"&gt;="&amp;($D397-Settings!$B$2),$D$2:$D$501,"&lt;"&amp;$D397)/COUNTIFS($B$2:$B$501,$B397,$D$2:$D$501,"&gt;="&amp;($D397-Settings!$B$2),$D$2:$D$501,"&lt;"&amp;$D397),Settings!$B$3)))</f>
      </c>
      <c r="F397" s="5">
        <f>IF(ISNUMBER($E397),ROUND($C397-$E397,2),"")</f>
      </c>
      <c r="G397" s="5">
        <f>IF(ISNUMBER($F397),COUNTIFS($A$2:$A$501,$A397,$F$2:$F$501,"&gt;"&amp;$F397)+1,"")</f>
      </c>
    </row>
    <row r="398">
      <c r="A398" s="6"/>
      <c r="D398" s="5">
        <f>IF(OR($A398="",$B398="",$C398=""),"",COUNTIFS($B$2:$B$501,$B398,$C$2:$C$501,"&lt;&gt;",$A$2:$A$501,"&lt;"&amp;$A398)+COUNTIFS($B$1:$B397,$B398,$C$1:$C397,"&lt;&gt;",$A$1:$A397,$A398)+1)</f>
      </c>
      <c r="E398" s="5">
        <f>IF($D398="","",IF(OR($D398=1,AND(Settings!$B$4="Yes",$D398&lt;=Settings!$B$2)),IF(COUNTIFS(Players!$A$2:$A$101,$B398,Players!$B$2:$B$101,"&lt;&gt;")=0,"Add a starting quota",ROUND(SUMIFS(Players!$B$2:$B$101,Players!$A$2:$A$101,$B398),Settings!$B$3)),ROUND(SUMIFS($C$2:$C$501,$B$2:$B$501,$B398,$D$2:$D$501,"&gt;="&amp;($D398-Settings!$B$2),$D$2:$D$501,"&lt;"&amp;$D398)/COUNTIFS($B$2:$B$501,$B398,$D$2:$D$501,"&gt;="&amp;($D398-Settings!$B$2),$D$2:$D$501,"&lt;"&amp;$D398),Settings!$B$3)))</f>
      </c>
      <c r="F398" s="5">
        <f>IF(ISNUMBER($E398),ROUND($C398-$E398,2),"")</f>
      </c>
      <c r="G398" s="5">
        <f>IF(ISNUMBER($F398),COUNTIFS($A$2:$A$501,$A398,$F$2:$F$501,"&gt;"&amp;$F398)+1,"")</f>
      </c>
    </row>
    <row r="399">
      <c r="A399" s="6"/>
      <c r="D399" s="5">
        <f>IF(OR($A399="",$B399="",$C399=""),"",COUNTIFS($B$2:$B$501,$B399,$C$2:$C$501,"&lt;&gt;",$A$2:$A$501,"&lt;"&amp;$A399)+COUNTIFS($B$1:$B398,$B399,$C$1:$C398,"&lt;&gt;",$A$1:$A398,$A399)+1)</f>
      </c>
      <c r="E399" s="5">
        <f>IF($D399="","",IF(OR($D399=1,AND(Settings!$B$4="Yes",$D399&lt;=Settings!$B$2)),IF(COUNTIFS(Players!$A$2:$A$101,$B399,Players!$B$2:$B$101,"&lt;&gt;")=0,"Add a starting quota",ROUND(SUMIFS(Players!$B$2:$B$101,Players!$A$2:$A$101,$B399),Settings!$B$3)),ROUND(SUMIFS($C$2:$C$501,$B$2:$B$501,$B399,$D$2:$D$501,"&gt;="&amp;($D399-Settings!$B$2),$D$2:$D$501,"&lt;"&amp;$D399)/COUNTIFS($B$2:$B$501,$B399,$D$2:$D$501,"&gt;="&amp;($D399-Settings!$B$2),$D$2:$D$501,"&lt;"&amp;$D399),Settings!$B$3)))</f>
      </c>
      <c r="F399" s="5">
        <f>IF(ISNUMBER($E399),ROUND($C399-$E399,2),"")</f>
      </c>
      <c r="G399" s="5">
        <f>IF(ISNUMBER($F399),COUNTIFS($A$2:$A$501,$A399,$F$2:$F$501,"&gt;"&amp;$F399)+1,"")</f>
      </c>
    </row>
    <row r="400">
      <c r="A400" s="6"/>
      <c r="D400" s="5">
        <f>IF(OR($A400="",$B400="",$C400=""),"",COUNTIFS($B$2:$B$501,$B400,$C$2:$C$501,"&lt;&gt;",$A$2:$A$501,"&lt;"&amp;$A400)+COUNTIFS($B$1:$B399,$B400,$C$1:$C399,"&lt;&gt;",$A$1:$A399,$A400)+1)</f>
      </c>
      <c r="E400" s="5">
        <f>IF($D400="","",IF(OR($D400=1,AND(Settings!$B$4="Yes",$D400&lt;=Settings!$B$2)),IF(COUNTIFS(Players!$A$2:$A$101,$B400,Players!$B$2:$B$101,"&lt;&gt;")=0,"Add a starting quota",ROUND(SUMIFS(Players!$B$2:$B$101,Players!$A$2:$A$101,$B400),Settings!$B$3)),ROUND(SUMIFS($C$2:$C$501,$B$2:$B$501,$B400,$D$2:$D$501,"&gt;="&amp;($D400-Settings!$B$2),$D$2:$D$501,"&lt;"&amp;$D400)/COUNTIFS($B$2:$B$501,$B400,$D$2:$D$501,"&gt;="&amp;($D400-Settings!$B$2),$D$2:$D$501,"&lt;"&amp;$D400),Settings!$B$3)))</f>
      </c>
      <c r="F400" s="5">
        <f>IF(ISNUMBER($E400),ROUND($C400-$E400,2),"")</f>
      </c>
      <c r="G400" s="5">
        <f>IF(ISNUMBER($F400),COUNTIFS($A$2:$A$501,$A400,$F$2:$F$501,"&gt;"&amp;$F400)+1,"")</f>
      </c>
    </row>
    <row r="401">
      <c r="A401" s="6"/>
      <c r="D401" s="5">
        <f>IF(OR($A401="",$B401="",$C401=""),"",COUNTIFS($B$2:$B$501,$B401,$C$2:$C$501,"&lt;&gt;",$A$2:$A$501,"&lt;"&amp;$A401)+COUNTIFS($B$1:$B400,$B401,$C$1:$C400,"&lt;&gt;",$A$1:$A400,$A401)+1)</f>
      </c>
      <c r="E401" s="5">
        <f>IF($D401="","",IF(OR($D401=1,AND(Settings!$B$4="Yes",$D401&lt;=Settings!$B$2)),IF(COUNTIFS(Players!$A$2:$A$101,$B401,Players!$B$2:$B$101,"&lt;&gt;")=0,"Add a starting quota",ROUND(SUMIFS(Players!$B$2:$B$101,Players!$A$2:$A$101,$B401),Settings!$B$3)),ROUND(SUMIFS($C$2:$C$501,$B$2:$B$501,$B401,$D$2:$D$501,"&gt;="&amp;($D401-Settings!$B$2),$D$2:$D$501,"&lt;"&amp;$D401)/COUNTIFS($B$2:$B$501,$B401,$D$2:$D$501,"&gt;="&amp;($D401-Settings!$B$2),$D$2:$D$501,"&lt;"&amp;$D401),Settings!$B$3)))</f>
      </c>
      <c r="F401" s="5">
        <f>IF(ISNUMBER($E401),ROUND($C401-$E401,2),"")</f>
      </c>
      <c r="G401" s="5">
        <f>IF(ISNUMBER($F401),COUNTIFS($A$2:$A$501,$A401,$F$2:$F$501,"&gt;"&amp;$F401)+1,"")</f>
      </c>
    </row>
    <row r="402">
      <c r="A402" s="6"/>
      <c r="D402" s="5">
        <f>IF(OR($A402="",$B402="",$C402=""),"",COUNTIFS($B$2:$B$501,$B402,$C$2:$C$501,"&lt;&gt;",$A$2:$A$501,"&lt;"&amp;$A402)+COUNTIFS($B$1:$B401,$B402,$C$1:$C401,"&lt;&gt;",$A$1:$A401,$A402)+1)</f>
      </c>
      <c r="E402" s="5">
        <f>IF($D402="","",IF(OR($D402=1,AND(Settings!$B$4="Yes",$D402&lt;=Settings!$B$2)),IF(COUNTIFS(Players!$A$2:$A$101,$B402,Players!$B$2:$B$101,"&lt;&gt;")=0,"Add a starting quota",ROUND(SUMIFS(Players!$B$2:$B$101,Players!$A$2:$A$101,$B402),Settings!$B$3)),ROUND(SUMIFS($C$2:$C$501,$B$2:$B$501,$B402,$D$2:$D$501,"&gt;="&amp;($D402-Settings!$B$2),$D$2:$D$501,"&lt;"&amp;$D402)/COUNTIFS($B$2:$B$501,$B402,$D$2:$D$501,"&gt;="&amp;($D402-Settings!$B$2),$D$2:$D$501,"&lt;"&amp;$D402),Settings!$B$3)))</f>
      </c>
      <c r="F402" s="5">
        <f>IF(ISNUMBER($E402),ROUND($C402-$E402,2),"")</f>
      </c>
      <c r="G402" s="5">
        <f>IF(ISNUMBER($F402),COUNTIFS($A$2:$A$501,$A402,$F$2:$F$501,"&gt;"&amp;$F402)+1,"")</f>
      </c>
    </row>
    <row r="403">
      <c r="A403" s="6"/>
      <c r="D403" s="5">
        <f>IF(OR($A403="",$B403="",$C403=""),"",COUNTIFS($B$2:$B$501,$B403,$C$2:$C$501,"&lt;&gt;",$A$2:$A$501,"&lt;"&amp;$A403)+COUNTIFS($B$1:$B402,$B403,$C$1:$C402,"&lt;&gt;",$A$1:$A402,$A403)+1)</f>
      </c>
      <c r="E403" s="5">
        <f>IF($D403="","",IF(OR($D403=1,AND(Settings!$B$4="Yes",$D403&lt;=Settings!$B$2)),IF(COUNTIFS(Players!$A$2:$A$101,$B403,Players!$B$2:$B$101,"&lt;&gt;")=0,"Add a starting quota",ROUND(SUMIFS(Players!$B$2:$B$101,Players!$A$2:$A$101,$B403),Settings!$B$3)),ROUND(SUMIFS($C$2:$C$501,$B$2:$B$501,$B403,$D$2:$D$501,"&gt;="&amp;($D403-Settings!$B$2),$D$2:$D$501,"&lt;"&amp;$D403)/COUNTIFS($B$2:$B$501,$B403,$D$2:$D$501,"&gt;="&amp;($D403-Settings!$B$2),$D$2:$D$501,"&lt;"&amp;$D403),Settings!$B$3)))</f>
      </c>
      <c r="F403" s="5">
        <f>IF(ISNUMBER($E403),ROUND($C403-$E403,2),"")</f>
      </c>
      <c r="G403" s="5">
        <f>IF(ISNUMBER($F403),COUNTIFS($A$2:$A$501,$A403,$F$2:$F$501,"&gt;"&amp;$F403)+1,"")</f>
      </c>
    </row>
    <row r="404">
      <c r="A404" s="6"/>
      <c r="D404" s="5">
        <f>IF(OR($A404="",$B404="",$C404=""),"",COUNTIFS($B$2:$B$501,$B404,$C$2:$C$501,"&lt;&gt;",$A$2:$A$501,"&lt;"&amp;$A404)+COUNTIFS($B$1:$B403,$B404,$C$1:$C403,"&lt;&gt;",$A$1:$A403,$A404)+1)</f>
      </c>
      <c r="E404" s="5">
        <f>IF($D404="","",IF(OR($D404=1,AND(Settings!$B$4="Yes",$D404&lt;=Settings!$B$2)),IF(COUNTIFS(Players!$A$2:$A$101,$B404,Players!$B$2:$B$101,"&lt;&gt;")=0,"Add a starting quota",ROUND(SUMIFS(Players!$B$2:$B$101,Players!$A$2:$A$101,$B404),Settings!$B$3)),ROUND(SUMIFS($C$2:$C$501,$B$2:$B$501,$B404,$D$2:$D$501,"&gt;="&amp;($D404-Settings!$B$2),$D$2:$D$501,"&lt;"&amp;$D404)/COUNTIFS($B$2:$B$501,$B404,$D$2:$D$501,"&gt;="&amp;($D404-Settings!$B$2),$D$2:$D$501,"&lt;"&amp;$D404),Settings!$B$3)))</f>
      </c>
      <c r="F404" s="5">
        <f>IF(ISNUMBER($E404),ROUND($C404-$E404,2),"")</f>
      </c>
      <c r="G404" s="5">
        <f>IF(ISNUMBER($F404),COUNTIFS($A$2:$A$501,$A404,$F$2:$F$501,"&gt;"&amp;$F404)+1,"")</f>
      </c>
    </row>
    <row r="405">
      <c r="A405" s="6"/>
      <c r="D405" s="5">
        <f>IF(OR($A405="",$B405="",$C405=""),"",COUNTIFS($B$2:$B$501,$B405,$C$2:$C$501,"&lt;&gt;",$A$2:$A$501,"&lt;"&amp;$A405)+COUNTIFS($B$1:$B404,$B405,$C$1:$C404,"&lt;&gt;",$A$1:$A404,$A405)+1)</f>
      </c>
      <c r="E405" s="5">
        <f>IF($D405="","",IF(OR($D405=1,AND(Settings!$B$4="Yes",$D405&lt;=Settings!$B$2)),IF(COUNTIFS(Players!$A$2:$A$101,$B405,Players!$B$2:$B$101,"&lt;&gt;")=0,"Add a starting quota",ROUND(SUMIFS(Players!$B$2:$B$101,Players!$A$2:$A$101,$B405),Settings!$B$3)),ROUND(SUMIFS($C$2:$C$501,$B$2:$B$501,$B405,$D$2:$D$501,"&gt;="&amp;($D405-Settings!$B$2),$D$2:$D$501,"&lt;"&amp;$D405)/COUNTIFS($B$2:$B$501,$B405,$D$2:$D$501,"&gt;="&amp;($D405-Settings!$B$2),$D$2:$D$501,"&lt;"&amp;$D405),Settings!$B$3)))</f>
      </c>
      <c r="F405" s="5">
        <f>IF(ISNUMBER($E405),ROUND($C405-$E405,2),"")</f>
      </c>
      <c r="G405" s="5">
        <f>IF(ISNUMBER($F405),COUNTIFS($A$2:$A$501,$A405,$F$2:$F$501,"&gt;"&amp;$F405)+1,"")</f>
      </c>
    </row>
    <row r="406">
      <c r="A406" s="6"/>
      <c r="D406" s="5">
        <f>IF(OR($A406="",$B406="",$C406=""),"",COUNTIFS($B$2:$B$501,$B406,$C$2:$C$501,"&lt;&gt;",$A$2:$A$501,"&lt;"&amp;$A406)+COUNTIFS($B$1:$B405,$B406,$C$1:$C405,"&lt;&gt;",$A$1:$A405,$A406)+1)</f>
      </c>
      <c r="E406" s="5">
        <f>IF($D406="","",IF(OR($D406=1,AND(Settings!$B$4="Yes",$D406&lt;=Settings!$B$2)),IF(COUNTIFS(Players!$A$2:$A$101,$B406,Players!$B$2:$B$101,"&lt;&gt;")=0,"Add a starting quota",ROUND(SUMIFS(Players!$B$2:$B$101,Players!$A$2:$A$101,$B406),Settings!$B$3)),ROUND(SUMIFS($C$2:$C$501,$B$2:$B$501,$B406,$D$2:$D$501,"&gt;="&amp;($D406-Settings!$B$2),$D$2:$D$501,"&lt;"&amp;$D406)/COUNTIFS($B$2:$B$501,$B406,$D$2:$D$501,"&gt;="&amp;($D406-Settings!$B$2),$D$2:$D$501,"&lt;"&amp;$D406),Settings!$B$3)))</f>
      </c>
      <c r="F406" s="5">
        <f>IF(ISNUMBER($E406),ROUND($C406-$E406,2),"")</f>
      </c>
      <c r="G406" s="5">
        <f>IF(ISNUMBER($F406),COUNTIFS($A$2:$A$501,$A406,$F$2:$F$501,"&gt;"&amp;$F406)+1,"")</f>
      </c>
    </row>
    <row r="407">
      <c r="A407" s="6"/>
      <c r="D407" s="5">
        <f>IF(OR($A407="",$B407="",$C407=""),"",COUNTIFS($B$2:$B$501,$B407,$C$2:$C$501,"&lt;&gt;",$A$2:$A$501,"&lt;"&amp;$A407)+COUNTIFS($B$1:$B406,$B407,$C$1:$C406,"&lt;&gt;",$A$1:$A406,$A407)+1)</f>
      </c>
      <c r="E407" s="5">
        <f>IF($D407="","",IF(OR($D407=1,AND(Settings!$B$4="Yes",$D407&lt;=Settings!$B$2)),IF(COUNTIFS(Players!$A$2:$A$101,$B407,Players!$B$2:$B$101,"&lt;&gt;")=0,"Add a starting quota",ROUND(SUMIFS(Players!$B$2:$B$101,Players!$A$2:$A$101,$B407),Settings!$B$3)),ROUND(SUMIFS($C$2:$C$501,$B$2:$B$501,$B407,$D$2:$D$501,"&gt;="&amp;($D407-Settings!$B$2),$D$2:$D$501,"&lt;"&amp;$D407)/COUNTIFS($B$2:$B$501,$B407,$D$2:$D$501,"&gt;="&amp;($D407-Settings!$B$2),$D$2:$D$501,"&lt;"&amp;$D407),Settings!$B$3)))</f>
      </c>
      <c r="F407" s="5">
        <f>IF(ISNUMBER($E407),ROUND($C407-$E407,2),"")</f>
      </c>
      <c r="G407" s="5">
        <f>IF(ISNUMBER($F407),COUNTIFS($A$2:$A$501,$A407,$F$2:$F$501,"&gt;"&amp;$F407)+1,"")</f>
      </c>
    </row>
    <row r="408">
      <c r="A408" s="6"/>
      <c r="D408" s="5">
        <f>IF(OR($A408="",$B408="",$C408=""),"",COUNTIFS($B$2:$B$501,$B408,$C$2:$C$501,"&lt;&gt;",$A$2:$A$501,"&lt;"&amp;$A408)+COUNTIFS($B$1:$B407,$B408,$C$1:$C407,"&lt;&gt;",$A$1:$A407,$A408)+1)</f>
      </c>
      <c r="E408" s="5">
        <f>IF($D408="","",IF(OR($D408=1,AND(Settings!$B$4="Yes",$D408&lt;=Settings!$B$2)),IF(COUNTIFS(Players!$A$2:$A$101,$B408,Players!$B$2:$B$101,"&lt;&gt;")=0,"Add a starting quota",ROUND(SUMIFS(Players!$B$2:$B$101,Players!$A$2:$A$101,$B408),Settings!$B$3)),ROUND(SUMIFS($C$2:$C$501,$B$2:$B$501,$B408,$D$2:$D$501,"&gt;="&amp;($D408-Settings!$B$2),$D$2:$D$501,"&lt;"&amp;$D408)/COUNTIFS($B$2:$B$501,$B408,$D$2:$D$501,"&gt;="&amp;($D408-Settings!$B$2),$D$2:$D$501,"&lt;"&amp;$D408),Settings!$B$3)))</f>
      </c>
      <c r="F408" s="5">
        <f>IF(ISNUMBER($E408),ROUND($C408-$E408,2),"")</f>
      </c>
      <c r="G408" s="5">
        <f>IF(ISNUMBER($F408),COUNTIFS($A$2:$A$501,$A408,$F$2:$F$501,"&gt;"&amp;$F408)+1,"")</f>
      </c>
    </row>
    <row r="409">
      <c r="A409" s="6"/>
      <c r="D409" s="5">
        <f>IF(OR($A409="",$B409="",$C409=""),"",COUNTIFS($B$2:$B$501,$B409,$C$2:$C$501,"&lt;&gt;",$A$2:$A$501,"&lt;"&amp;$A409)+COUNTIFS($B$1:$B408,$B409,$C$1:$C408,"&lt;&gt;",$A$1:$A408,$A409)+1)</f>
      </c>
      <c r="E409" s="5">
        <f>IF($D409="","",IF(OR($D409=1,AND(Settings!$B$4="Yes",$D409&lt;=Settings!$B$2)),IF(COUNTIFS(Players!$A$2:$A$101,$B409,Players!$B$2:$B$101,"&lt;&gt;")=0,"Add a starting quota",ROUND(SUMIFS(Players!$B$2:$B$101,Players!$A$2:$A$101,$B409),Settings!$B$3)),ROUND(SUMIFS($C$2:$C$501,$B$2:$B$501,$B409,$D$2:$D$501,"&gt;="&amp;($D409-Settings!$B$2),$D$2:$D$501,"&lt;"&amp;$D409)/COUNTIFS($B$2:$B$501,$B409,$D$2:$D$501,"&gt;="&amp;($D409-Settings!$B$2),$D$2:$D$501,"&lt;"&amp;$D409),Settings!$B$3)))</f>
      </c>
      <c r="F409" s="5">
        <f>IF(ISNUMBER($E409),ROUND($C409-$E409,2),"")</f>
      </c>
      <c r="G409" s="5">
        <f>IF(ISNUMBER($F409),COUNTIFS($A$2:$A$501,$A409,$F$2:$F$501,"&gt;"&amp;$F409)+1,"")</f>
      </c>
    </row>
    <row r="410">
      <c r="A410" s="6"/>
      <c r="D410" s="5">
        <f>IF(OR($A410="",$B410="",$C410=""),"",COUNTIFS($B$2:$B$501,$B410,$C$2:$C$501,"&lt;&gt;",$A$2:$A$501,"&lt;"&amp;$A410)+COUNTIFS($B$1:$B409,$B410,$C$1:$C409,"&lt;&gt;",$A$1:$A409,$A410)+1)</f>
      </c>
      <c r="E410" s="5">
        <f>IF($D410="","",IF(OR($D410=1,AND(Settings!$B$4="Yes",$D410&lt;=Settings!$B$2)),IF(COUNTIFS(Players!$A$2:$A$101,$B410,Players!$B$2:$B$101,"&lt;&gt;")=0,"Add a starting quota",ROUND(SUMIFS(Players!$B$2:$B$101,Players!$A$2:$A$101,$B410),Settings!$B$3)),ROUND(SUMIFS($C$2:$C$501,$B$2:$B$501,$B410,$D$2:$D$501,"&gt;="&amp;($D410-Settings!$B$2),$D$2:$D$501,"&lt;"&amp;$D410)/COUNTIFS($B$2:$B$501,$B410,$D$2:$D$501,"&gt;="&amp;($D410-Settings!$B$2),$D$2:$D$501,"&lt;"&amp;$D410),Settings!$B$3)))</f>
      </c>
      <c r="F410" s="5">
        <f>IF(ISNUMBER($E410),ROUND($C410-$E410,2),"")</f>
      </c>
      <c r="G410" s="5">
        <f>IF(ISNUMBER($F410),COUNTIFS($A$2:$A$501,$A410,$F$2:$F$501,"&gt;"&amp;$F410)+1,"")</f>
      </c>
    </row>
    <row r="411">
      <c r="A411" s="6"/>
      <c r="D411" s="5">
        <f>IF(OR($A411="",$B411="",$C411=""),"",COUNTIFS($B$2:$B$501,$B411,$C$2:$C$501,"&lt;&gt;",$A$2:$A$501,"&lt;"&amp;$A411)+COUNTIFS($B$1:$B410,$B411,$C$1:$C410,"&lt;&gt;",$A$1:$A410,$A411)+1)</f>
      </c>
      <c r="E411" s="5">
        <f>IF($D411="","",IF(OR($D411=1,AND(Settings!$B$4="Yes",$D411&lt;=Settings!$B$2)),IF(COUNTIFS(Players!$A$2:$A$101,$B411,Players!$B$2:$B$101,"&lt;&gt;")=0,"Add a starting quota",ROUND(SUMIFS(Players!$B$2:$B$101,Players!$A$2:$A$101,$B411),Settings!$B$3)),ROUND(SUMIFS($C$2:$C$501,$B$2:$B$501,$B411,$D$2:$D$501,"&gt;="&amp;($D411-Settings!$B$2),$D$2:$D$501,"&lt;"&amp;$D411)/COUNTIFS($B$2:$B$501,$B411,$D$2:$D$501,"&gt;="&amp;($D411-Settings!$B$2),$D$2:$D$501,"&lt;"&amp;$D411),Settings!$B$3)))</f>
      </c>
      <c r="F411" s="5">
        <f>IF(ISNUMBER($E411),ROUND($C411-$E411,2),"")</f>
      </c>
      <c r="G411" s="5">
        <f>IF(ISNUMBER($F411),COUNTIFS($A$2:$A$501,$A411,$F$2:$F$501,"&gt;"&amp;$F411)+1,"")</f>
      </c>
    </row>
    <row r="412">
      <c r="A412" s="6"/>
      <c r="D412" s="5">
        <f>IF(OR($A412="",$B412="",$C412=""),"",COUNTIFS($B$2:$B$501,$B412,$C$2:$C$501,"&lt;&gt;",$A$2:$A$501,"&lt;"&amp;$A412)+COUNTIFS($B$1:$B411,$B412,$C$1:$C411,"&lt;&gt;",$A$1:$A411,$A412)+1)</f>
      </c>
      <c r="E412" s="5">
        <f>IF($D412="","",IF(OR($D412=1,AND(Settings!$B$4="Yes",$D412&lt;=Settings!$B$2)),IF(COUNTIFS(Players!$A$2:$A$101,$B412,Players!$B$2:$B$101,"&lt;&gt;")=0,"Add a starting quota",ROUND(SUMIFS(Players!$B$2:$B$101,Players!$A$2:$A$101,$B412),Settings!$B$3)),ROUND(SUMIFS($C$2:$C$501,$B$2:$B$501,$B412,$D$2:$D$501,"&gt;="&amp;($D412-Settings!$B$2),$D$2:$D$501,"&lt;"&amp;$D412)/COUNTIFS($B$2:$B$501,$B412,$D$2:$D$501,"&gt;="&amp;($D412-Settings!$B$2),$D$2:$D$501,"&lt;"&amp;$D412),Settings!$B$3)))</f>
      </c>
      <c r="F412" s="5">
        <f>IF(ISNUMBER($E412),ROUND($C412-$E412,2),"")</f>
      </c>
      <c r="G412" s="5">
        <f>IF(ISNUMBER($F412),COUNTIFS($A$2:$A$501,$A412,$F$2:$F$501,"&gt;"&amp;$F412)+1,"")</f>
      </c>
    </row>
    <row r="413">
      <c r="A413" s="6"/>
      <c r="D413" s="5">
        <f>IF(OR($A413="",$B413="",$C413=""),"",COUNTIFS($B$2:$B$501,$B413,$C$2:$C$501,"&lt;&gt;",$A$2:$A$501,"&lt;"&amp;$A413)+COUNTIFS($B$1:$B412,$B413,$C$1:$C412,"&lt;&gt;",$A$1:$A412,$A413)+1)</f>
      </c>
      <c r="E413" s="5">
        <f>IF($D413="","",IF(OR($D413=1,AND(Settings!$B$4="Yes",$D413&lt;=Settings!$B$2)),IF(COUNTIFS(Players!$A$2:$A$101,$B413,Players!$B$2:$B$101,"&lt;&gt;")=0,"Add a starting quota",ROUND(SUMIFS(Players!$B$2:$B$101,Players!$A$2:$A$101,$B413),Settings!$B$3)),ROUND(SUMIFS($C$2:$C$501,$B$2:$B$501,$B413,$D$2:$D$501,"&gt;="&amp;($D413-Settings!$B$2),$D$2:$D$501,"&lt;"&amp;$D413)/COUNTIFS($B$2:$B$501,$B413,$D$2:$D$501,"&gt;="&amp;($D413-Settings!$B$2),$D$2:$D$501,"&lt;"&amp;$D413),Settings!$B$3)))</f>
      </c>
      <c r="F413" s="5">
        <f>IF(ISNUMBER($E413),ROUND($C413-$E413,2),"")</f>
      </c>
      <c r="G413" s="5">
        <f>IF(ISNUMBER($F413),COUNTIFS($A$2:$A$501,$A413,$F$2:$F$501,"&gt;"&amp;$F413)+1,"")</f>
      </c>
    </row>
    <row r="414">
      <c r="A414" s="6"/>
      <c r="D414" s="5">
        <f>IF(OR($A414="",$B414="",$C414=""),"",COUNTIFS($B$2:$B$501,$B414,$C$2:$C$501,"&lt;&gt;",$A$2:$A$501,"&lt;"&amp;$A414)+COUNTIFS($B$1:$B413,$B414,$C$1:$C413,"&lt;&gt;",$A$1:$A413,$A414)+1)</f>
      </c>
      <c r="E414" s="5">
        <f>IF($D414="","",IF(OR($D414=1,AND(Settings!$B$4="Yes",$D414&lt;=Settings!$B$2)),IF(COUNTIFS(Players!$A$2:$A$101,$B414,Players!$B$2:$B$101,"&lt;&gt;")=0,"Add a starting quota",ROUND(SUMIFS(Players!$B$2:$B$101,Players!$A$2:$A$101,$B414),Settings!$B$3)),ROUND(SUMIFS($C$2:$C$501,$B$2:$B$501,$B414,$D$2:$D$501,"&gt;="&amp;($D414-Settings!$B$2),$D$2:$D$501,"&lt;"&amp;$D414)/COUNTIFS($B$2:$B$501,$B414,$D$2:$D$501,"&gt;="&amp;($D414-Settings!$B$2),$D$2:$D$501,"&lt;"&amp;$D414),Settings!$B$3)))</f>
      </c>
      <c r="F414" s="5">
        <f>IF(ISNUMBER($E414),ROUND($C414-$E414,2),"")</f>
      </c>
      <c r="G414" s="5">
        <f>IF(ISNUMBER($F414),COUNTIFS($A$2:$A$501,$A414,$F$2:$F$501,"&gt;"&amp;$F414)+1,"")</f>
      </c>
    </row>
    <row r="415">
      <c r="A415" s="6"/>
      <c r="D415" s="5">
        <f>IF(OR($A415="",$B415="",$C415=""),"",COUNTIFS($B$2:$B$501,$B415,$C$2:$C$501,"&lt;&gt;",$A$2:$A$501,"&lt;"&amp;$A415)+COUNTIFS($B$1:$B414,$B415,$C$1:$C414,"&lt;&gt;",$A$1:$A414,$A415)+1)</f>
      </c>
      <c r="E415" s="5">
        <f>IF($D415="","",IF(OR($D415=1,AND(Settings!$B$4="Yes",$D415&lt;=Settings!$B$2)),IF(COUNTIFS(Players!$A$2:$A$101,$B415,Players!$B$2:$B$101,"&lt;&gt;")=0,"Add a starting quota",ROUND(SUMIFS(Players!$B$2:$B$101,Players!$A$2:$A$101,$B415),Settings!$B$3)),ROUND(SUMIFS($C$2:$C$501,$B$2:$B$501,$B415,$D$2:$D$501,"&gt;="&amp;($D415-Settings!$B$2),$D$2:$D$501,"&lt;"&amp;$D415)/COUNTIFS($B$2:$B$501,$B415,$D$2:$D$501,"&gt;="&amp;($D415-Settings!$B$2),$D$2:$D$501,"&lt;"&amp;$D415),Settings!$B$3)))</f>
      </c>
      <c r="F415" s="5">
        <f>IF(ISNUMBER($E415),ROUND($C415-$E415,2),"")</f>
      </c>
      <c r="G415" s="5">
        <f>IF(ISNUMBER($F415),COUNTIFS($A$2:$A$501,$A415,$F$2:$F$501,"&gt;"&amp;$F415)+1,"")</f>
      </c>
    </row>
    <row r="416">
      <c r="A416" s="6"/>
      <c r="D416" s="5">
        <f>IF(OR($A416="",$B416="",$C416=""),"",COUNTIFS($B$2:$B$501,$B416,$C$2:$C$501,"&lt;&gt;",$A$2:$A$501,"&lt;"&amp;$A416)+COUNTIFS($B$1:$B415,$B416,$C$1:$C415,"&lt;&gt;",$A$1:$A415,$A416)+1)</f>
      </c>
      <c r="E416" s="5">
        <f>IF($D416="","",IF(OR($D416=1,AND(Settings!$B$4="Yes",$D416&lt;=Settings!$B$2)),IF(COUNTIFS(Players!$A$2:$A$101,$B416,Players!$B$2:$B$101,"&lt;&gt;")=0,"Add a starting quota",ROUND(SUMIFS(Players!$B$2:$B$101,Players!$A$2:$A$101,$B416),Settings!$B$3)),ROUND(SUMIFS($C$2:$C$501,$B$2:$B$501,$B416,$D$2:$D$501,"&gt;="&amp;($D416-Settings!$B$2),$D$2:$D$501,"&lt;"&amp;$D416)/COUNTIFS($B$2:$B$501,$B416,$D$2:$D$501,"&gt;="&amp;($D416-Settings!$B$2),$D$2:$D$501,"&lt;"&amp;$D416),Settings!$B$3)))</f>
      </c>
      <c r="F416" s="5">
        <f>IF(ISNUMBER($E416),ROUND($C416-$E416,2),"")</f>
      </c>
      <c r="G416" s="5">
        <f>IF(ISNUMBER($F416),COUNTIFS($A$2:$A$501,$A416,$F$2:$F$501,"&gt;"&amp;$F416)+1,"")</f>
      </c>
    </row>
    <row r="417">
      <c r="A417" s="6"/>
      <c r="D417" s="5">
        <f>IF(OR($A417="",$B417="",$C417=""),"",COUNTIFS($B$2:$B$501,$B417,$C$2:$C$501,"&lt;&gt;",$A$2:$A$501,"&lt;"&amp;$A417)+COUNTIFS($B$1:$B416,$B417,$C$1:$C416,"&lt;&gt;",$A$1:$A416,$A417)+1)</f>
      </c>
      <c r="E417" s="5">
        <f>IF($D417="","",IF(OR($D417=1,AND(Settings!$B$4="Yes",$D417&lt;=Settings!$B$2)),IF(COUNTIFS(Players!$A$2:$A$101,$B417,Players!$B$2:$B$101,"&lt;&gt;")=0,"Add a starting quota",ROUND(SUMIFS(Players!$B$2:$B$101,Players!$A$2:$A$101,$B417),Settings!$B$3)),ROUND(SUMIFS($C$2:$C$501,$B$2:$B$501,$B417,$D$2:$D$501,"&gt;="&amp;($D417-Settings!$B$2),$D$2:$D$501,"&lt;"&amp;$D417)/COUNTIFS($B$2:$B$501,$B417,$D$2:$D$501,"&gt;="&amp;($D417-Settings!$B$2),$D$2:$D$501,"&lt;"&amp;$D417),Settings!$B$3)))</f>
      </c>
      <c r="F417" s="5">
        <f>IF(ISNUMBER($E417),ROUND($C417-$E417,2),"")</f>
      </c>
      <c r="G417" s="5">
        <f>IF(ISNUMBER($F417),COUNTIFS($A$2:$A$501,$A417,$F$2:$F$501,"&gt;"&amp;$F417)+1,"")</f>
      </c>
    </row>
    <row r="418">
      <c r="A418" s="6"/>
      <c r="D418" s="5">
        <f>IF(OR($A418="",$B418="",$C418=""),"",COUNTIFS($B$2:$B$501,$B418,$C$2:$C$501,"&lt;&gt;",$A$2:$A$501,"&lt;"&amp;$A418)+COUNTIFS($B$1:$B417,$B418,$C$1:$C417,"&lt;&gt;",$A$1:$A417,$A418)+1)</f>
      </c>
      <c r="E418" s="5">
        <f>IF($D418="","",IF(OR($D418=1,AND(Settings!$B$4="Yes",$D418&lt;=Settings!$B$2)),IF(COUNTIFS(Players!$A$2:$A$101,$B418,Players!$B$2:$B$101,"&lt;&gt;")=0,"Add a starting quota",ROUND(SUMIFS(Players!$B$2:$B$101,Players!$A$2:$A$101,$B418),Settings!$B$3)),ROUND(SUMIFS($C$2:$C$501,$B$2:$B$501,$B418,$D$2:$D$501,"&gt;="&amp;($D418-Settings!$B$2),$D$2:$D$501,"&lt;"&amp;$D418)/COUNTIFS($B$2:$B$501,$B418,$D$2:$D$501,"&gt;="&amp;($D418-Settings!$B$2),$D$2:$D$501,"&lt;"&amp;$D418),Settings!$B$3)))</f>
      </c>
      <c r="F418" s="5">
        <f>IF(ISNUMBER($E418),ROUND($C418-$E418,2),"")</f>
      </c>
      <c r="G418" s="5">
        <f>IF(ISNUMBER($F418),COUNTIFS($A$2:$A$501,$A418,$F$2:$F$501,"&gt;"&amp;$F418)+1,"")</f>
      </c>
    </row>
    <row r="419">
      <c r="A419" s="6"/>
      <c r="D419" s="5">
        <f>IF(OR($A419="",$B419="",$C419=""),"",COUNTIFS($B$2:$B$501,$B419,$C$2:$C$501,"&lt;&gt;",$A$2:$A$501,"&lt;"&amp;$A419)+COUNTIFS($B$1:$B418,$B419,$C$1:$C418,"&lt;&gt;",$A$1:$A418,$A419)+1)</f>
      </c>
      <c r="E419" s="5">
        <f>IF($D419="","",IF(OR($D419=1,AND(Settings!$B$4="Yes",$D419&lt;=Settings!$B$2)),IF(COUNTIFS(Players!$A$2:$A$101,$B419,Players!$B$2:$B$101,"&lt;&gt;")=0,"Add a starting quota",ROUND(SUMIFS(Players!$B$2:$B$101,Players!$A$2:$A$101,$B419),Settings!$B$3)),ROUND(SUMIFS($C$2:$C$501,$B$2:$B$501,$B419,$D$2:$D$501,"&gt;="&amp;($D419-Settings!$B$2),$D$2:$D$501,"&lt;"&amp;$D419)/COUNTIFS($B$2:$B$501,$B419,$D$2:$D$501,"&gt;="&amp;($D419-Settings!$B$2),$D$2:$D$501,"&lt;"&amp;$D419),Settings!$B$3)))</f>
      </c>
      <c r="F419" s="5">
        <f>IF(ISNUMBER($E419),ROUND($C419-$E419,2),"")</f>
      </c>
      <c r="G419" s="5">
        <f>IF(ISNUMBER($F419),COUNTIFS($A$2:$A$501,$A419,$F$2:$F$501,"&gt;"&amp;$F419)+1,"")</f>
      </c>
    </row>
    <row r="420">
      <c r="A420" s="6"/>
      <c r="D420" s="5">
        <f>IF(OR($A420="",$B420="",$C420=""),"",COUNTIFS($B$2:$B$501,$B420,$C$2:$C$501,"&lt;&gt;",$A$2:$A$501,"&lt;"&amp;$A420)+COUNTIFS($B$1:$B419,$B420,$C$1:$C419,"&lt;&gt;",$A$1:$A419,$A420)+1)</f>
      </c>
      <c r="E420" s="5">
        <f>IF($D420="","",IF(OR($D420=1,AND(Settings!$B$4="Yes",$D420&lt;=Settings!$B$2)),IF(COUNTIFS(Players!$A$2:$A$101,$B420,Players!$B$2:$B$101,"&lt;&gt;")=0,"Add a starting quota",ROUND(SUMIFS(Players!$B$2:$B$101,Players!$A$2:$A$101,$B420),Settings!$B$3)),ROUND(SUMIFS($C$2:$C$501,$B$2:$B$501,$B420,$D$2:$D$501,"&gt;="&amp;($D420-Settings!$B$2),$D$2:$D$501,"&lt;"&amp;$D420)/COUNTIFS($B$2:$B$501,$B420,$D$2:$D$501,"&gt;="&amp;($D420-Settings!$B$2),$D$2:$D$501,"&lt;"&amp;$D420),Settings!$B$3)))</f>
      </c>
      <c r="F420" s="5">
        <f>IF(ISNUMBER($E420),ROUND($C420-$E420,2),"")</f>
      </c>
      <c r="G420" s="5">
        <f>IF(ISNUMBER($F420),COUNTIFS($A$2:$A$501,$A420,$F$2:$F$501,"&gt;"&amp;$F420)+1,"")</f>
      </c>
    </row>
    <row r="421">
      <c r="A421" s="6"/>
      <c r="D421" s="5">
        <f>IF(OR($A421="",$B421="",$C421=""),"",COUNTIFS($B$2:$B$501,$B421,$C$2:$C$501,"&lt;&gt;",$A$2:$A$501,"&lt;"&amp;$A421)+COUNTIFS($B$1:$B420,$B421,$C$1:$C420,"&lt;&gt;",$A$1:$A420,$A421)+1)</f>
      </c>
      <c r="E421" s="5">
        <f>IF($D421="","",IF(OR($D421=1,AND(Settings!$B$4="Yes",$D421&lt;=Settings!$B$2)),IF(COUNTIFS(Players!$A$2:$A$101,$B421,Players!$B$2:$B$101,"&lt;&gt;")=0,"Add a starting quota",ROUND(SUMIFS(Players!$B$2:$B$101,Players!$A$2:$A$101,$B421),Settings!$B$3)),ROUND(SUMIFS($C$2:$C$501,$B$2:$B$501,$B421,$D$2:$D$501,"&gt;="&amp;($D421-Settings!$B$2),$D$2:$D$501,"&lt;"&amp;$D421)/COUNTIFS($B$2:$B$501,$B421,$D$2:$D$501,"&gt;="&amp;($D421-Settings!$B$2),$D$2:$D$501,"&lt;"&amp;$D421),Settings!$B$3)))</f>
      </c>
      <c r="F421" s="5">
        <f>IF(ISNUMBER($E421),ROUND($C421-$E421,2),"")</f>
      </c>
      <c r="G421" s="5">
        <f>IF(ISNUMBER($F421),COUNTIFS($A$2:$A$501,$A421,$F$2:$F$501,"&gt;"&amp;$F421)+1,"")</f>
      </c>
    </row>
    <row r="422">
      <c r="A422" s="6"/>
      <c r="D422" s="5">
        <f>IF(OR($A422="",$B422="",$C422=""),"",COUNTIFS($B$2:$B$501,$B422,$C$2:$C$501,"&lt;&gt;",$A$2:$A$501,"&lt;"&amp;$A422)+COUNTIFS($B$1:$B421,$B422,$C$1:$C421,"&lt;&gt;",$A$1:$A421,$A422)+1)</f>
      </c>
      <c r="E422" s="5">
        <f>IF($D422="","",IF(OR($D422=1,AND(Settings!$B$4="Yes",$D422&lt;=Settings!$B$2)),IF(COUNTIFS(Players!$A$2:$A$101,$B422,Players!$B$2:$B$101,"&lt;&gt;")=0,"Add a starting quota",ROUND(SUMIFS(Players!$B$2:$B$101,Players!$A$2:$A$101,$B422),Settings!$B$3)),ROUND(SUMIFS($C$2:$C$501,$B$2:$B$501,$B422,$D$2:$D$501,"&gt;="&amp;($D422-Settings!$B$2),$D$2:$D$501,"&lt;"&amp;$D422)/COUNTIFS($B$2:$B$501,$B422,$D$2:$D$501,"&gt;="&amp;($D422-Settings!$B$2),$D$2:$D$501,"&lt;"&amp;$D422),Settings!$B$3)))</f>
      </c>
      <c r="F422" s="5">
        <f>IF(ISNUMBER($E422),ROUND($C422-$E422,2),"")</f>
      </c>
      <c r="G422" s="5">
        <f>IF(ISNUMBER($F422),COUNTIFS($A$2:$A$501,$A422,$F$2:$F$501,"&gt;"&amp;$F422)+1,"")</f>
      </c>
    </row>
    <row r="423">
      <c r="A423" s="6"/>
      <c r="D423" s="5">
        <f>IF(OR($A423="",$B423="",$C423=""),"",COUNTIFS($B$2:$B$501,$B423,$C$2:$C$501,"&lt;&gt;",$A$2:$A$501,"&lt;"&amp;$A423)+COUNTIFS($B$1:$B422,$B423,$C$1:$C422,"&lt;&gt;",$A$1:$A422,$A423)+1)</f>
      </c>
      <c r="E423" s="5">
        <f>IF($D423="","",IF(OR($D423=1,AND(Settings!$B$4="Yes",$D423&lt;=Settings!$B$2)),IF(COUNTIFS(Players!$A$2:$A$101,$B423,Players!$B$2:$B$101,"&lt;&gt;")=0,"Add a starting quota",ROUND(SUMIFS(Players!$B$2:$B$101,Players!$A$2:$A$101,$B423),Settings!$B$3)),ROUND(SUMIFS($C$2:$C$501,$B$2:$B$501,$B423,$D$2:$D$501,"&gt;="&amp;($D423-Settings!$B$2),$D$2:$D$501,"&lt;"&amp;$D423)/COUNTIFS($B$2:$B$501,$B423,$D$2:$D$501,"&gt;="&amp;($D423-Settings!$B$2),$D$2:$D$501,"&lt;"&amp;$D423),Settings!$B$3)))</f>
      </c>
      <c r="F423" s="5">
        <f>IF(ISNUMBER($E423),ROUND($C423-$E423,2),"")</f>
      </c>
      <c r="G423" s="5">
        <f>IF(ISNUMBER($F423),COUNTIFS($A$2:$A$501,$A423,$F$2:$F$501,"&gt;"&amp;$F423)+1,"")</f>
      </c>
    </row>
    <row r="424">
      <c r="A424" s="6"/>
      <c r="D424" s="5">
        <f>IF(OR($A424="",$B424="",$C424=""),"",COUNTIFS($B$2:$B$501,$B424,$C$2:$C$501,"&lt;&gt;",$A$2:$A$501,"&lt;"&amp;$A424)+COUNTIFS($B$1:$B423,$B424,$C$1:$C423,"&lt;&gt;",$A$1:$A423,$A424)+1)</f>
      </c>
      <c r="E424" s="5">
        <f>IF($D424="","",IF(OR($D424=1,AND(Settings!$B$4="Yes",$D424&lt;=Settings!$B$2)),IF(COUNTIFS(Players!$A$2:$A$101,$B424,Players!$B$2:$B$101,"&lt;&gt;")=0,"Add a starting quota",ROUND(SUMIFS(Players!$B$2:$B$101,Players!$A$2:$A$101,$B424),Settings!$B$3)),ROUND(SUMIFS($C$2:$C$501,$B$2:$B$501,$B424,$D$2:$D$501,"&gt;="&amp;($D424-Settings!$B$2),$D$2:$D$501,"&lt;"&amp;$D424)/COUNTIFS($B$2:$B$501,$B424,$D$2:$D$501,"&gt;="&amp;($D424-Settings!$B$2),$D$2:$D$501,"&lt;"&amp;$D424),Settings!$B$3)))</f>
      </c>
      <c r="F424" s="5">
        <f>IF(ISNUMBER($E424),ROUND($C424-$E424,2),"")</f>
      </c>
      <c r="G424" s="5">
        <f>IF(ISNUMBER($F424),COUNTIFS($A$2:$A$501,$A424,$F$2:$F$501,"&gt;"&amp;$F424)+1,"")</f>
      </c>
    </row>
    <row r="425">
      <c r="A425" s="6"/>
      <c r="D425" s="5">
        <f>IF(OR($A425="",$B425="",$C425=""),"",COUNTIFS($B$2:$B$501,$B425,$C$2:$C$501,"&lt;&gt;",$A$2:$A$501,"&lt;"&amp;$A425)+COUNTIFS($B$1:$B424,$B425,$C$1:$C424,"&lt;&gt;",$A$1:$A424,$A425)+1)</f>
      </c>
      <c r="E425" s="5">
        <f>IF($D425="","",IF(OR($D425=1,AND(Settings!$B$4="Yes",$D425&lt;=Settings!$B$2)),IF(COUNTIFS(Players!$A$2:$A$101,$B425,Players!$B$2:$B$101,"&lt;&gt;")=0,"Add a starting quota",ROUND(SUMIFS(Players!$B$2:$B$101,Players!$A$2:$A$101,$B425),Settings!$B$3)),ROUND(SUMIFS($C$2:$C$501,$B$2:$B$501,$B425,$D$2:$D$501,"&gt;="&amp;($D425-Settings!$B$2),$D$2:$D$501,"&lt;"&amp;$D425)/COUNTIFS($B$2:$B$501,$B425,$D$2:$D$501,"&gt;="&amp;($D425-Settings!$B$2),$D$2:$D$501,"&lt;"&amp;$D425),Settings!$B$3)))</f>
      </c>
      <c r="F425" s="5">
        <f>IF(ISNUMBER($E425),ROUND($C425-$E425,2),"")</f>
      </c>
      <c r="G425" s="5">
        <f>IF(ISNUMBER($F425),COUNTIFS($A$2:$A$501,$A425,$F$2:$F$501,"&gt;"&amp;$F425)+1,"")</f>
      </c>
    </row>
    <row r="426">
      <c r="A426" s="6"/>
      <c r="D426" s="5">
        <f>IF(OR($A426="",$B426="",$C426=""),"",COUNTIFS($B$2:$B$501,$B426,$C$2:$C$501,"&lt;&gt;",$A$2:$A$501,"&lt;"&amp;$A426)+COUNTIFS($B$1:$B425,$B426,$C$1:$C425,"&lt;&gt;",$A$1:$A425,$A426)+1)</f>
      </c>
      <c r="E426" s="5">
        <f>IF($D426="","",IF(OR($D426=1,AND(Settings!$B$4="Yes",$D426&lt;=Settings!$B$2)),IF(COUNTIFS(Players!$A$2:$A$101,$B426,Players!$B$2:$B$101,"&lt;&gt;")=0,"Add a starting quota",ROUND(SUMIFS(Players!$B$2:$B$101,Players!$A$2:$A$101,$B426),Settings!$B$3)),ROUND(SUMIFS($C$2:$C$501,$B$2:$B$501,$B426,$D$2:$D$501,"&gt;="&amp;($D426-Settings!$B$2),$D$2:$D$501,"&lt;"&amp;$D426)/COUNTIFS($B$2:$B$501,$B426,$D$2:$D$501,"&gt;="&amp;($D426-Settings!$B$2),$D$2:$D$501,"&lt;"&amp;$D426),Settings!$B$3)))</f>
      </c>
      <c r="F426" s="5">
        <f>IF(ISNUMBER($E426),ROUND($C426-$E426,2),"")</f>
      </c>
      <c r="G426" s="5">
        <f>IF(ISNUMBER($F426),COUNTIFS($A$2:$A$501,$A426,$F$2:$F$501,"&gt;"&amp;$F426)+1,"")</f>
      </c>
    </row>
    <row r="427">
      <c r="A427" s="6"/>
      <c r="D427" s="5">
        <f>IF(OR($A427="",$B427="",$C427=""),"",COUNTIFS($B$2:$B$501,$B427,$C$2:$C$501,"&lt;&gt;",$A$2:$A$501,"&lt;"&amp;$A427)+COUNTIFS($B$1:$B426,$B427,$C$1:$C426,"&lt;&gt;",$A$1:$A426,$A427)+1)</f>
      </c>
      <c r="E427" s="5">
        <f>IF($D427="","",IF(OR($D427=1,AND(Settings!$B$4="Yes",$D427&lt;=Settings!$B$2)),IF(COUNTIFS(Players!$A$2:$A$101,$B427,Players!$B$2:$B$101,"&lt;&gt;")=0,"Add a starting quota",ROUND(SUMIFS(Players!$B$2:$B$101,Players!$A$2:$A$101,$B427),Settings!$B$3)),ROUND(SUMIFS($C$2:$C$501,$B$2:$B$501,$B427,$D$2:$D$501,"&gt;="&amp;($D427-Settings!$B$2),$D$2:$D$501,"&lt;"&amp;$D427)/COUNTIFS($B$2:$B$501,$B427,$D$2:$D$501,"&gt;="&amp;($D427-Settings!$B$2),$D$2:$D$501,"&lt;"&amp;$D427),Settings!$B$3)))</f>
      </c>
      <c r="F427" s="5">
        <f>IF(ISNUMBER($E427),ROUND($C427-$E427,2),"")</f>
      </c>
      <c r="G427" s="5">
        <f>IF(ISNUMBER($F427),COUNTIFS($A$2:$A$501,$A427,$F$2:$F$501,"&gt;"&amp;$F427)+1,"")</f>
      </c>
    </row>
    <row r="428">
      <c r="A428" s="6"/>
      <c r="D428" s="5">
        <f>IF(OR($A428="",$B428="",$C428=""),"",COUNTIFS($B$2:$B$501,$B428,$C$2:$C$501,"&lt;&gt;",$A$2:$A$501,"&lt;"&amp;$A428)+COUNTIFS($B$1:$B427,$B428,$C$1:$C427,"&lt;&gt;",$A$1:$A427,$A428)+1)</f>
      </c>
      <c r="E428" s="5">
        <f>IF($D428="","",IF(OR($D428=1,AND(Settings!$B$4="Yes",$D428&lt;=Settings!$B$2)),IF(COUNTIFS(Players!$A$2:$A$101,$B428,Players!$B$2:$B$101,"&lt;&gt;")=0,"Add a starting quota",ROUND(SUMIFS(Players!$B$2:$B$101,Players!$A$2:$A$101,$B428),Settings!$B$3)),ROUND(SUMIFS($C$2:$C$501,$B$2:$B$501,$B428,$D$2:$D$501,"&gt;="&amp;($D428-Settings!$B$2),$D$2:$D$501,"&lt;"&amp;$D428)/COUNTIFS($B$2:$B$501,$B428,$D$2:$D$501,"&gt;="&amp;($D428-Settings!$B$2),$D$2:$D$501,"&lt;"&amp;$D428),Settings!$B$3)))</f>
      </c>
      <c r="F428" s="5">
        <f>IF(ISNUMBER($E428),ROUND($C428-$E428,2),"")</f>
      </c>
      <c r="G428" s="5">
        <f>IF(ISNUMBER($F428),COUNTIFS($A$2:$A$501,$A428,$F$2:$F$501,"&gt;"&amp;$F428)+1,"")</f>
      </c>
    </row>
    <row r="429">
      <c r="A429" s="6"/>
      <c r="D429" s="5">
        <f>IF(OR($A429="",$B429="",$C429=""),"",COUNTIFS($B$2:$B$501,$B429,$C$2:$C$501,"&lt;&gt;",$A$2:$A$501,"&lt;"&amp;$A429)+COUNTIFS($B$1:$B428,$B429,$C$1:$C428,"&lt;&gt;",$A$1:$A428,$A429)+1)</f>
      </c>
      <c r="E429" s="5">
        <f>IF($D429="","",IF(OR($D429=1,AND(Settings!$B$4="Yes",$D429&lt;=Settings!$B$2)),IF(COUNTIFS(Players!$A$2:$A$101,$B429,Players!$B$2:$B$101,"&lt;&gt;")=0,"Add a starting quota",ROUND(SUMIFS(Players!$B$2:$B$101,Players!$A$2:$A$101,$B429),Settings!$B$3)),ROUND(SUMIFS($C$2:$C$501,$B$2:$B$501,$B429,$D$2:$D$501,"&gt;="&amp;($D429-Settings!$B$2),$D$2:$D$501,"&lt;"&amp;$D429)/COUNTIFS($B$2:$B$501,$B429,$D$2:$D$501,"&gt;="&amp;($D429-Settings!$B$2),$D$2:$D$501,"&lt;"&amp;$D429),Settings!$B$3)))</f>
      </c>
      <c r="F429" s="5">
        <f>IF(ISNUMBER($E429),ROUND($C429-$E429,2),"")</f>
      </c>
      <c r="G429" s="5">
        <f>IF(ISNUMBER($F429),COUNTIFS($A$2:$A$501,$A429,$F$2:$F$501,"&gt;"&amp;$F429)+1,"")</f>
      </c>
    </row>
    <row r="430">
      <c r="A430" s="6"/>
      <c r="D430" s="5">
        <f>IF(OR($A430="",$B430="",$C430=""),"",COUNTIFS($B$2:$B$501,$B430,$C$2:$C$501,"&lt;&gt;",$A$2:$A$501,"&lt;"&amp;$A430)+COUNTIFS($B$1:$B429,$B430,$C$1:$C429,"&lt;&gt;",$A$1:$A429,$A430)+1)</f>
      </c>
      <c r="E430" s="5">
        <f>IF($D430="","",IF(OR($D430=1,AND(Settings!$B$4="Yes",$D430&lt;=Settings!$B$2)),IF(COUNTIFS(Players!$A$2:$A$101,$B430,Players!$B$2:$B$101,"&lt;&gt;")=0,"Add a starting quota",ROUND(SUMIFS(Players!$B$2:$B$101,Players!$A$2:$A$101,$B430),Settings!$B$3)),ROUND(SUMIFS($C$2:$C$501,$B$2:$B$501,$B430,$D$2:$D$501,"&gt;="&amp;($D430-Settings!$B$2),$D$2:$D$501,"&lt;"&amp;$D430)/COUNTIFS($B$2:$B$501,$B430,$D$2:$D$501,"&gt;="&amp;($D430-Settings!$B$2),$D$2:$D$501,"&lt;"&amp;$D430),Settings!$B$3)))</f>
      </c>
      <c r="F430" s="5">
        <f>IF(ISNUMBER($E430),ROUND($C430-$E430,2),"")</f>
      </c>
      <c r="G430" s="5">
        <f>IF(ISNUMBER($F430),COUNTIFS($A$2:$A$501,$A430,$F$2:$F$501,"&gt;"&amp;$F430)+1,"")</f>
      </c>
    </row>
    <row r="431">
      <c r="A431" s="6"/>
      <c r="D431" s="5">
        <f>IF(OR($A431="",$B431="",$C431=""),"",COUNTIFS($B$2:$B$501,$B431,$C$2:$C$501,"&lt;&gt;",$A$2:$A$501,"&lt;"&amp;$A431)+COUNTIFS($B$1:$B430,$B431,$C$1:$C430,"&lt;&gt;",$A$1:$A430,$A431)+1)</f>
      </c>
      <c r="E431" s="5">
        <f>IF($D431="","",IF(OR($D431=1,AND(Settings!$B$4="Yes",$D431&lt;=Settings!$B$2)),IF(COUNTIFS(Players!$A$2:$A$101,$B431,Players!$B$2:$B$101,"&lt;&gt;")=0,"Add a starting quota",ROUND(SUMIFS(Players!$B$2:$B$101,Players!$A$2:$A$101,$B431),Settings!$B$3)),ROUND(SUMIFS($C$2:$C$501,$B$2:$B$501,$B431,$D$2:$D$501,"&gt;="&amp;($D431-Settings!$B$2),$D$2:$D$501,"&lt;"&amp;$D431)/COUNTIFS($B$2:$B$501,$B431,$D$2:$D$501,"&gt;="&amp;($D431-Settings!$B$2),$D$2:$D$501,"&lt;"&amp;$D431),Settings!$B$3)))</f>
      </c>
      <c r="F431" s="5">
        <f>IF(ISNUMBER($E431),ROUND($C431-$E431,2),"")</f>
      </c>
      <c r="G431" s="5">
        <f>IF(ISNUMBER($F431),COUNTIFS($A$2:$A$501,$A431,$F$2:$F$501,"&gt;"&amp;$F431)+1,"")</f>
      </c>
    </row>
    <row r="432">
      <c r="A432" s="6"/>
      <c r="D432" s="5">
        <f>IF(OR($A432="",$B432="",$C432=""),"",COUNTIFS($B$2:$B$501,$B432,$C$2:$C$501,"&lt;&gt;",$A$2:$A$501,"&lt;"&amp;$A432)+COUNTIFS($B$1:$B431,$B432,$C$1:$C431,"&lt;&gt;",$A$1:$A431,$A432)+1)</f>
      </c>
      <c r="E432" s="5">
        <f>IF($D432="","",IF(OR($D432=1,AND(Settings!$B$4="Yes",$D432&lt;=Settings!$B$2)),IF(COUNTIFS(Players!$A$2:$A$101,$B432,Players!$B$2:$B$101,"&lt;&gt;")=0,"Add a starting quota",ROUND(SUMIFS(Players!$B$2:$B$101,Players!$A$2:$A$101,$B432),Settings!$B$3)),ROUND(SUMIFS($C$2:$C$501,$B$2:$B$501,$B432,$D$2:$D$501,"&gt;="&amp;($D432-Settings!$B$2),$D$2:$D$501,"&lt;"&amp;$D432)/COUNTIFS($B$2:$B$501,$B432,$D$2:$D$501,"&gt;="&amp;($D432-Settings!$B$2),$D$2:$D$501,"&lt;"&amp;$D432),Settings!$B$3)))</f>
      </c>
      <c r="F432" s="5">
        <f>IF(ISNUMBER($E432),ROUND($C432-$E432,2),"")</f>
      </c>
      <c r="G432" s="5">
        <f>IF(ISNUMBER($F432),COUNTIFS($A$2:$A$501,$A432,$F$2:$F$501,"&gt;"&amp;$F432)+1,"")</f>
      </c>
    </row>
    <row r="433">
      <c r="A433" s="6"/>
      <c r="D433" s="5">
        <f>IF(OR($A433="",$B433="",$C433=""),"",COUNTIFS($B$2:$B$501,$B433,$C$2:$C$501,"&lt;&gt;",$A$2:$A$501,"&lt;"&amp;$A433)+COUNTIFS($B$1:$B432,$B433,$C$1:$C432,"&lt;&gt;",$A$1:$A432,$A433)+1)</f>
      </c>
      <c r="E433" s="5">
        <f>IF($D433="","",IF(OR($D433=1,AND(Settings!$B$4="Yes",$D433&lt;=Settings!$B$2)),IF(COUNTIFS(Players!$A$2:$A$101,$B433,Players!$B$2:$B$101,"&lt;&gt;")=0,"Add a starting quota",ROUND(SUMIFS(Players!$B$2:$B$101,Players!$A$2:$A$101,$B433),Settings!$B$3)),ROUND(SUMIFS($C$2:$C$501,$B$2:$B$501,$B433,$D$2:$D$501,"&gt;="&amp;($D433-Settings!$B$2),$D$2:$D$501,"&lt;"&amp;$D433)/COUNTIFS($B$2:$B$501,$B433,$D$2:$D$501,"&gt;="&amp;($D433-Settings!$B$2),$D$2:$D$501,"&lt;"&amp;$D433),Settings!$B$3)))</f>
      </c>
      <c r="F433" s="5">
        <f>IF(ISNUMBER($E433),ROUND($C433-$E433,2),"")</f>
      </c>
      <c r="G433" s="5">
        <f>IF(ISNUMBER($F433),COUNTIFS($A$2:$A$501,$A433,$F$2:$F$501,"&gt;"&amp;$F433)+1,"")</f>
      </c>
    </row>
    <row r="434">
      <c r="A434" s="6"/>
      <c r="D434" s="5">
        <f>IF(OR($A434="",$B434="",$C434=""),"",COUNTIFS($B$2:$B$501,$B434,$C$2:$C$501,"&lt;&gt;",$A$2:$A$501,"&lt;"&amp;$A434)+COUNTIFS($B$1:$B433,$B434,$C$1:$C433,"&lt;&gt;",$A$1:$A433,$A434)+1)</f>
      </c>
      <c r="E434" s="5">
        <f>IF($D434="","",IF(OR($D434=1,AND(Settings!$B$4="Yes",$D434&lt;=Settings!$B$2)),IF(COUNTIFS(Players!$A$2:$A$101,$B434,Players!$B$2:$B$101,"&lt;&gt;")=0,"Add a starting quota",ROUND(SUMIFS(Players!$B$2:$B$101,Players!$A$2:$A$101,$B434),Settings!$B$3)),ROUND(SUMIFS($C$2:$C$501,$B$2:$B$501,$B434,$D$2:$D$501,"&gt;="&amp;($D434-Settings!$B$2),$D$2:$D$501,"&lt;"&amp;$D434)/COUNTIFS($B$2:$B$501,$B434,$D$2:$D$501,"&gt;="&amp;($D434-Settings!$B$2),$D$2:$D$501,"&lt;"&amp;$D434),Settings!$B$3)))</f>
      </c>
      <c r="F434" s="5">
        <f>IF(ISNUMBER($E434),ROUND($C434-$E434,2),"")</f>
      </c>
      <c r="G434" s="5">
        <f>IF(ISNUMBER($F434),COUNTIFS($A$2:$A$501,$A434,$F$2:$F$501,"&gt;"&amp;$F434)+1,"")</f>
      </c>
    </row>
    <row r="435">
      <c r="A435" s="6"/>
      <c r="D435" s="5">
        <f>IF(OR($A435="",$B435="",$C435=""),"",COUNTIFS($B$2:$B$501,$B435,$C$2:$C$501,"&lt;&gt;",$A$2:$A$501,"&lt;"&amp;$A435)+COUNTIFS($B$1:$B434,$B435,$C$1:$C434,"&lt;&gt;",$A$1:$A434,$A435)+1)</f>
      </c>
      <c r="E435" s="5">
        <f>IF($D435="","",IF(OR($D435=1,AND(Settings!$B$4="Yes",$D435&lt;=Settings!$B$2)),IF(COUNTIFS(Players!$A$2:$A$101,$B435,Players!$B$2:$B$101,"&lt;&gt;")=0,"Add a starting quota",ROUND(SUMIFS(Players!$B$2:$B$101,Players!$A$2:$A$101,$B435),Settings!$B$3)),ROUND(SUMIFS($C$2:$C$501,$B$2:$B$501,$B435,$D$2:$D$501,"&gt;="&amp;($D435-Settings!$B$2),$D$2:$D$501,"&lt;"&amp;$D435)/COUNTIFS($B$2:$B$501,$B435,$D$2:$D$501,"&gt;="&amp;($D435-Settings!$B$2),$D$2:$D$501,"&lt;"&amp;$D435),Settings!$B$3)))</f>
      </c>
      <c r="F435" s="5">
        <f>IF(ISNUMBER($E435),ROUND($C435-$E435,2),"")</f>
      </c>
      <c r="G435" s="5">
        <f>IF(ISNUMBER($F435),COUNTIFS($A$2:$A$501,$A435,$F$2:$F$501,"&gt;"&amp;$F435)+1,"")</f>
      </c>
    </row>
    <row r="436">
      <c r="A436" s="6"/>
      <c r="D436" s="5">
        <f>IF(OR($A436="",$B436="",$C436=""),"",COUNTIFS($B$2:$B$501,$B436,$C$2:$C$501,"&lt;&gt;",$A$2:$A$501,"&lt;"&amp;$A436)+COUNTIFS($B$1:$B435,$B436,$C$1:$C435,"&lt;&gt;",$A$1:$A435,$A436)+1)</f>
      </c>
      <c r="E436" s="5">
        <f>IF($D436="","",IF(OR($D436=1,AND(Settings!$B$4="Yes",$D436&lt;=Settings!$B$2)),IF(COUNTIFS(Players!$A$2:$A$101,$B436,Players!$B$2:$B$101,"&lt;&gt;")=0,"Add a starting quota",ROUND(SUMIFS(Players!$B$2:$B$101,Players!$A$2:$A$101,$B436),Settings!$B$3)),ROUND(SUMIFS($C$2:$C$501,$B$2:$B$501,$B436,$D$2:$D$501,"&gt;="&amp;($D436-Settings!$B$2),$D$2:$D$501,"&lt;"&amp;$D436)/COUNTIFS($B$2:$B$501,$B436,$D$2:$D$501,"&gt;="&amp;($D436-Settings!$B$2),$D$2:$D$501,"&lt;"&amp;$D436),Settings!$B$3)))</f>
      </c>
      <c r="F436" s="5">
        <f>IF(ISNUMBER($E436),ROUND($C436-$E436,2),"")</f>
      </c>
      <c r="G436" s="5">
        <f>IF(ISNUMBER($F436),COUNTIFS($A$2:$A$501,$A436,$F$2:$F$501,"&gt;"&amp;$F436)+1,"")</f>
      </c>
    </row>
    <row r="437">
      <c r="A437" s="6"/>
      <c r="D437" s="5">
        <f>IF(OR($A437="",$B437="",$C437=""),"",COUNTIFS($B$2:$B$501,$B437,$C$2:$C$501,"&lt;&gt;",$A$2:$A$501,"&lt;"&amp;$A437)+COUNTIFS($B$1:$B436,$B437,$C$1:$C436,"&lt;&gt;",$A$1:$A436,$A437)+1)</f>
      </c>
      <c r="E437" s="5">
        <f>IF($D437="","",IF(OR($D437=1,AND(Settings!$B$4="Yes",$D437&lt;=Settings!$B$2)),IF(COUNTIFS(Players!$A$2:$A$101,$B437,Players!$B$2:$B$101,"&lt;&gt;")=0,"Add a starting quota",ROUND(SUMIFS(Players!$B$2:$B$101,Players!$A$2:$A$101,$B437),Settings!$B$3)),ROUND(SUMIFS($C$2:$C$501,$B$2:$B$501,$B437,$D$2:$D$501,"&gt;="&amp;($D437-Settings!$B$2),$D$2:$D$501,"&lt;"&amp;$D437)/COUNTIFS($B$2:$B$501,$B437,$D$2:$D$501,"&gt;="&amp;($D437-Settings!$B$2),$D$2:$D$501,"&lt;"&amp;$D437),Settings!$B$3)))</f>
      </c>
      <c r="F437" s="5">
        <f>IF(ISNUMBER($E437),ROUND($C437-$E437,2),"")</f>
      </c>
      <c r="G437" s="5">
        <f>IF(ISNUMBER($F437),COUNTIFS($A$2:$A$501,$A437,$F$2:$F$501,"&gt;"&amp;$F437)+1,"")</f>
      </c>
    </row>
    <row r="438">
      <c r="A438" s="6"/>
      <c r="D438" s="5">
        <f>IF(OR($A438="",$B438="",$C438=""),"",COUNTIFS($B$2:$B$501,$B438,$C$2:$C$501,"&lt;&gt;",$A$2:$A$501,"&lt;"&amp;$A438)+COUNTIFS($B$1:$B437,$B438,$C$1:$C437,"&lt;&gt;",$A$1:$A437,$A438)+1)</f>
      </c>
      <c r="E438" s="5">
        <f>IF($D438="","",IF(OR($D438=1,AND(Settings!$B$4="Yes",$D438&lt;=Settings!$B$2)),IF(COUNTIFS(Players!$A$2:$A$101,$B438,Players!$B$2:$B$101,"&lt;&gt;")=0,"Add a starting quota",ROUND(SUMIFS(Players!$B$2:$B$101,Players!$A$2:$A$101,$B438),Settings!$B$3)),ROUND(SUMIFS($C$2:$C$501,$B$2:$B$501,$B438,$D$2:$D$501,"&gt;="&amp;($D438-Settings!$B$2),$D$2:$D$501,"&lt;"&amp;$D438)/COUNTIFS($B$2:$B$501,$B438,$D$2:$D$501,"&gt;="&amp;($D438-Settings!$B$2),$D$2:$D$501,"&lt;"&amp;$D438),Settings!$B$3)))</f>
      </c>
      <c r="F438" s="5">
        <f>IF(ISNUMBER($E438),ROUND($C438-$E438,2),"")</f>
      </c>
      <c r="G438" s="5">
        <f>IF(ISNUMBER($F438),COUNTIFS($A$2:$A$501,$A438,$F$2:$F$501,"&gt;"&amp;$F438)+1,"")</f>
      </c>
    </row>
    <row r="439">
      <c r="A439" s="6"/>
      <c r="D439" s="5">
        <f>IF(OR($A439="",$B439="",$C439=""),"",COUNTIFS($B$2:$B$501,$B439,$C$2:$C$501,"&lt;&gt;",$A$2:$A$501,"&lt;"&amp;$A439)+COUNTIFS($B$1:$B438,$B439,$C$1:$C438,"&lt;&gt;",$A$1:$A438,$A439)+1)</f>
      </c>
      <c r="E439" s="5">
        <f>IF($D439="","",IF(OR($D439=1,AND(Settings!$B$4="Yes",$D439&lt;=Settings!$B$2)),IF(COUNTIFS(Players!$A$2:$A$101,$B439,Players!$B$2:$B$101,"&lt;&gt;")=0,"Add a starting quota",ROUND(SUMIFS(Players!$B$2:$B$101,Players!$A$2:$A$101,$B439),Settings!$B$3)),ROUND(SUMIFS($C$2:$C$501,$B$2:$B$501,$B439,$D$2:$D$501,"&gt;="&amp;($D439-Settings!$B$2),$D$2:$D$501,"&lt;"&amp;$D439)/COUNTIFS($B$2:$B$501,$B439,$D$2:$D$501,"&gt;="&amp;($D439-Settings!$B$2),$D$2:$D$501,"&lt;"&amp;$D439),Settings!$B$3)))</f>
      </c>
      <c r="F439" s="5">
        <f>IF(ISNUMBER($E439),ROUND($C439-$E439,2),"")</f>
      </c>
      <c r="G439" s="5">
        <f>IF(ISNUMBER($F439),COUNTIFS($A$2:$A$501,$A439,$F$2:$F$501,"&gt;"&amp;$F439)+1,"")</f>
      </c>
    </row>
    <row r="440">
      <c r="A440" s="6"/>
      <c r="D440" s="5">
        <f>IF(OR($A440="",$B440="",$C440=""),"",COUNTIFS($B$2:$B$501,$B440,$C$2:$C$501,"&lt;&gt;",$A$2:$A$501,"&lt;"&amp;$A440)+COUNTIFS($B$1:$B439,$B440,$C$1:$C439,"&lt;&gt;",$A$1:$A439,$A440)+1)</f>
      </c>
      <c r="E440" s="5">
        <f>IF($D440="","",IF(OR($D440=1,AND(Settings!$B$4="Yes",$D440&lt;=Settings!$B$2)),IF(COUNTIFS(Players!$A$2:$A$101,$B440,Players!$B$2:$B$101,"&lt;&gt;")=0,"Add a starting quota",ROUND(SUMIFS(Players!$B$2:$B$101,Players!$A$2:$A$101,$B440),Settings!$B$3)),ROUND(SUMIFS($C$2:$C$501,$B$2:$B$501,$B440,$D$2:$D$501,"&gt;="&amp;($D440-Settings!$B$2),$D$2:$D$501,"&lt;"&amp;$D440)/COUNTIFS($B$2:$B$501,$B440,$D$2:$D$501,"&gt;="&amp;($D440-Settings!$B$2),$D$2:$D$501,"&lt;"&amp;$D440),Settings!$B$3)))</f>
      </c>
      <c r="F440" s="5">
        <f>IF(ISNUMBER($E440),ROUND($C440-$E440,2),"")</f>
      </c>
      <c r="G440" s="5">
        <f>IF(ISNUMBER($F440),COUNTIFS($A$2:$A$501,$A440,$F$2:$F$501,"&gt;"&amp;$F440)+1,"")</f>
      </c>
    </row>
    <row r="441">
      <c r="A441" s="6"/>
      <c r="D441" s="5">
        <f>IF(OR($A441="",$B441="",$C441=""),"",COUNTIFS($B$2:$B$501,$B441,$C$2:$C$501,"&lt;&gt;",$A$2:$A$501,"&lt;"&amp;$A441)+COUNTIFS($B$1:$B440,$B441,$C$1:$C440,"&lt;&gt;",$A$1:$A440,$A441)+1)</f>
      </c>
      <c r="E441" s="5">
        <f>IF($D441="","",IF(OR($D441=1,AND(Settings!$B$4="Yes",$D441&lt;=Settings!$B$2)),IF(COUNTIFS(Players!$A$2:$A$101,$B441,Players!$B$2:$B$101,"&lt;&gt;")=0,"Add a starting quota",ROUND(SUMIFS(Players!$B$2:$B$101,Players!$A$2:$A$101,$B441),Settings!$B$3)),ROUND(SUMIFS($C$2:$C$501,$B$2:$B$501,$B441,$D$2:$D$501,"&gt;="&amp;($D441-Settings!$B$2),$D$2:$D$501,"&lt;"&amp;$D441)/COUNTIFS($B$2:$B$501,$B441,$D$2:$D$501,"&gt;="&amp;($D441-Settings!$B$2),$D$2:$D$501,"&lt;"&amp;$D441),Settings!$B$3)))</f>
      </c>
      <c r="F441" s="5">
        <f>IF(ISNUMBER($E441),ROUND($C441-$E441,2),"")</f>
      </c>
      <c r="G441" s="5">
        <f>IF(ISNUMBER($F441),COUNTIFS($A$2:$A$501,$A441,$F$2:$F$501,"&gt;"&amp;$F441)+1,"")</f>
      </c>
    </row>
    <row r="442">
      <c r="A442" s="6"/>
      <c r="D442" s="5">
        <f>IF(OR($A442="",$B442="",$C442=""),"",COUNTIFS($B$2:$B$501,$B442,$C$2:$C$501,"&lt;&gt;",$A$2:$A$501,"&lt;"&amp;$A442)+COUNTIFS($B$1:$B441,$B442,$C$1:$C441,"&lt;&gt;",$A$1:$A441,$A442)+1)</f>
      </c>
      <c r="E442" s="5">
        <f>IF($D442="","",IF(OR($D442=1,AND(Settings!$B$4="Yes",$D442&lt;=Settings!$B$2)),IF(COUNTIFS(Players!$A$2:$A$101,$B442,Players!$B$2:$B$101,"&lt;&gt;")=0,"Add a starting quota",ROUND(SUMIFS(Players!$B$2:$B$101,Players!$A$2:$A$101,$B442),Settings!$B$3)),ROUND(SUMIFS($C$2:$C$501,$B$2:$B$501,$B442,$D$2:$D$501,"&gt;="&amp;($D442-Settings!$B$2),$D$2:$D$501,"&lt;"&amp;$D442)/COUNTIFS($B$2:$B$501,$B442,$D$2:$D$501,"&gt;="&amp;($D442-Settings!$B$2),$D$2:$D$501,"&lt;"&amp;$D442),Settings!$B$3)))</f>
      </c>
      <c r="F442" s="5">
        <f>IF(ISNUMBER($E442),ROUND($C442-$E442,2),"")</f>
      </c>
      <c r="G442" s="5">
        <f>IF(ISNUMBER($F442),COUNTIFS($A$2:$A$501,$A442,$F$2:$F$501,"&gt;"&amp;$F442)+1,"")</f>
      </c>
    </row>
    <row r="443">
      <c r="A443" s="6"/>
      <c r="D443" s="5">
        <f>IF(OR($A443="",$B443="",$C443=""),"",COUNTIFS($B$2:$B$501,$B443,$C$2:$C$501,"&lt;&gt;",$A$2:$A$501,"&lt;"&amp;$A443)+COUNTIFS($B$1:$B442,$B443,$C$1:$C442,"&lt;&gt;",$A$1:$A442,$A443)+1)</f>
      </c>
      <c r="E443" s="5">
        <f>IF($D443="","",IF(OR($D443=1,AND(Settings!$B$4="Yes",$D443&lt;=Settings!$B$2)),IF(COUNTIFS(Players!$A$2:$A$101,$B443,Players!$B$2:$B$101,"&lt;&gt;")=0,"Add a starting quota",ROUND(SUMIFS(Players!$B$2:$B$101,Players!$A$2:$A$101,$B443),Settings!$B$3)),ROUND(SUMIFS($C$2:$C$501,$B$2:$B$501,$B443,$D$2:$D$501,"&gt;="&amp;($D443-Settings!$B$2),$D$2:$D$501,"&lt;"&amp;$D443)/COUNTIFS($B$2:$B$501,$B443,$D$2:$D$501,"&gt;="&amp;($D443-Settings!$B$2),$D$2:$D$501,"&lt;"&amp;$D443),Settings!$B$3)))</f>
      </c>
      <c r="F443" s="5">
        <f>IF(ISNUMBER($E443),ROUND($C443-$E443,2),"")</f>
      </c>
      <c r="G443" s="5">
        <f>IF(ISNUMBER($F443),COUNTIFS($A$2:$A$501,$A443,$F$2:$F$501,"&gt;"&amp;$F443)+1,"")</f>
      </c>
    </row>
    <row r="444">
      <c r="A444" s="6"/>
      <c r="D444" s="5">
        <f>IF(OR($A444="",$B444="",$C444=""),"",COUNTIFS($B$2:$B$501,$B444,$C$2:$C$501,"&lt;&gt;",$A$2:$A$501,"&lt;"&amp;$A444)+COUNTIFS($B$1:$B443,$B444,$C$1:$C443,"&lt;&gt;",$A$1:$A443,$A444)+1)</f>
      </c>
      <c r="E444" s="5">
        <f>IF($D444="","",IF(OR($D444=1,AND(Settings!$B$4="Yes",$D444&lt;=Settings!$B$2)),IF(COUNTIFS(Players!$A$2:$A$101,$B444,Players!$B$2:$B$101,"&lt;&gt;")=0,"Add a starting quota",ROUND(SUMIFS(Players!$B$2:$B$101,Players!$A$2:$A$101,$B444),Settings!$B$3)),ROUND(SUMIFS($C$2:$C$501,$B$2:$B$501,$B444,$D$2:$D$501,"&gt;="&amp;($D444-Settings!$B$2),$D$2:$D$501,"&lt;"&amp;$D444)/COUNTIFS($B$2:$B$501,$B444,$D$2:$D$501,"&gt;="&amp;($D444-Settings!$B$2),$D$2:$D$501,"&lt;"&amp;$D444),Settings!$B$3)))</f>
      </c>
      <c r="F444" s="5">
        <f>IF(ISNUMBER($E444),ROUND($C444-$E444,2),"")</f>
      </c>
      <c r="G444" s="5">
        <f>IF(ISNUMBER($F444),COUNTIFS($A$2:$A$501,$A444,$F$2:$F$501,"&gt;"&amp;$F444)+1,"")</f>
      </c>
    </row>
    <row r="445">
      <c r="A445" s="6"/>
      <c r="D445" s="5">
        <f>IF(OR($A445="",$B445="",$C445=""),"",COUNTIFS($B$2:$B$501,$B445,$C$2:$C$501,"&lt;&gt;",$A$2:$A$501,"&lt;"&amp;$A445)+COUNTIFS($B$1:$B444,$B445,$C$1:$C444,"&lt;&gt;",$A$1:$A444,$A445)+1)</f>
      </c>
      <c r="E445" s="5">
        <f>IF($D445="","",IF(OR($D445=1,AND(Settings!$B$4="Yes",$D445&lt;=Settings!$B$2)),IF(COUNTIFS(Players!$A$2:$A$101,$B445,Players!$B$2:$B$101,"&lt;&gt;")=0,"Add a starting quota",ROUND(SUMIFS(Players!$B$2:$B$101,Players!$A$2:$A$101,$B445),Settings!$B$3)),ROUND(SUMIFS($C$2:$C$501,$B$2:$B$501,$B445,$D$2:$D$501,"&gt;="&amp;($D445-Settings!$B$2),$D$2:$D$501,"&lt;"&amp;$D445)/COUNTIFS($B$2:$B$501,$B445,$D$2:$D$501,"&gt;="&amp;($D445-Settings!$B$2),$D$2:$D$501,"&lt;"&amp;$D445),Settings!$B$3)))</f>
      </c>
      <c r="F445" s="5">
        <f>IF(ISNUMBER($E445),ROUND($C445-$E445,2),"")</f>
      </c>
      <c r="G445" s="5">
        <f>IF(ISNUMBER($F445),COUNTIFS($A$2:$A$501,$A445,$F$2:$F$501,"&gt;"&amp;$F445)+1,"")</f>
      </c>
    </row>
    <row r="446">
      <c r="A446" s="6"/>
      <c r="D446" s="5">
        <f>IF(OR($A446="",$B446="",$C446=""),"",COUNTIFS($B$2:$B$501,$B446,$C$2:$C$501,"&lt;&gt;",$A$2:$A$501,"&lt;"&amp;$A446)+COUNTIFS($B$1:$B445,$B446,$C$1:$C445,"&lt;&gt;",$A$1:$A445,$A446)+1)</f>
      </c>
      <c r="E446" s="5">
        <f>IF($D446="","",IF(OR($D446=1,AND(Settings!$B$4="Yes",$D446&lt;=Settings!$B$2)),IF(COUNTIFS(Players!$A$2:$A$101,$B446,Players!$B$2:$B$101,"&lt;&gt;")=0,"Add a starting quota",ROUND(SUMIFS(Players!$B$2:$B$101,Players!$A$2:$A$101,$B446),Settings!$B$3)),ROUND(SUMIFS($C$2:$C$501,$B$2:$B$501,$B446,$D$2:$D$501,"&gt;="&amp;($D446-Settings!$B$2),$D$2:$D$501,"&lt;"&amp;$D446)/COUNTIFS($B$2:$B$501,$B446,$D$2:$D$501,"&gt;="&amp;($D446-Settings!$B$2),$D$2:$D$501,"&lt;"&amp;$D446),Settings!$B$3)))</f>
      </c>
      <c r="F446" s="5">
        <f>IF(ISNUMBER($E446),ROUND($C446-$E446,2),"")</f>
      </c>
      <c r="G446" s="5">
        <f>IF(ISNUMBER($F446),COUNTIFS($A$2:$A$501,$A446,$F$2:$F$501,"&gt;"&amp;$F446)+1,"")</f>
      </c>
    </row>
    <row r="447">
      <c r="A447" s="6"/>
      <c r="D447" s="5">
        <f>IF(OR($A447="",$B447="",$C447=""),"",COUNTIFS($B$2:$B$501,$B447,$C$2:$C$501,"&lt;&gt;",$A$2:$A$501,"&lt;"&amp;$A447)+COUNTIFS($B$1:$B446,$B447,$C$1:$C446,"&lt;&gt;",$A$1:$A446,$A447)+1)</f>
      </c>
      <c r="E447" s="5">
        <f>IF($D447="","",IF(OR($D447=1,AND(Settings!$B$4="Yes",$D447&lt;=Settings!$B$2)),IF(COUNTIFS(Players!$A$2:$A$101,$B447,Players!$B$2:$B$101,"&lt;&gt;")=0,"Add a starting quota",ROUND(SUMIFS(Players!$B$2:$B$101,Players!$A$2:$A$101,$B447),Settings!$B$3)),ROUND(SUMIFS($C$2:$C$501,$B$2:$B$501,$B447,$D$2:$D$501,"&gt;="&amp;($D447-Settings!$B$2),$D$2:$D$501,"&lt;"&amp;$D447)/COUNTIFS($B$2:$B$501,$B447,$D$2:$D$501,"&gt;="&amp;($D447-Settings!$B$2),$D$2:$D$501,"&lt;"&amp;$D447),Settings!$B$3)))</f>
      </c>
      <c r="F447" s="5">
        <f>IF(ISNUMBER($E447),ROUND($C447-$E447,2),"")</f>
      </c>
      <c r="G447" s="5">
        <f>IF(ISNUMBER($F447),COUNTIFS($A$2:$A$501,$A447,$F$2:$F$501,"&gt;"&amp;$F447)+1,"")</f>
      </c>
    </row>
    <row r="448">
      <c r="A448" s="6"/>
      <c r="D448" s="5">
        <f>IF(OR($A448="",$B448="",$C448=""),"",COUNTIFS($B$2:$B$501,$B448,$C$2:$C$501,"&lt;&gt;",$A$2:$A$501,"&lt;"&amp;$A448)+COUNTIFS($B$1:$B447,$B448,$C$1:$C447,"&lt;&gt;",$A$1:$A447,$A448)+1)</f>
      </c>
      <c r="E448" s="5">
        <f>IF($D448="","",IF(OR($D448=1,AND(Settings!$B$4="Yes",$D448&lt;=Settings!$B$2)),IF(COUNTIFS(Players!$A$2:$A$101,$B448,Players!$B$2:$B$101,"&lt;&gt;")=0,"Add a starting quota",ROUND(SUMIFS(Players!$B$2:$B$101,Players!$A$2:$A$101,$B448),Settings!$B$3)),ROUND(SUMIFS($C$2:$C$501,$B$2:$B$501,$B448,$D$2:$D$501,"&gt;="&amp;($D448-Settings!$B$2),$D$2:$D$501,"&lt;"&amp;$D448)/COUNTIFS($B$2:$B$501,$B448,$D$2:$D$501,"&gt;="&amp;($D448-Settings!$B$2),$D$2:$D$501,"&lt;"&amp;$D448),Settings!$B$3)))</f>
      </c>
      <c r="F448" s="5">
        <f>IF(ISNUMBER($E448),ROUND($C448-$E448,2),"")</f>
      </c>
      <c r="G448" s="5">
        <f>IF(ISNUMBER($F448),COUNTIFS($A$2:$A$501,$A448,$F$2:$F$501,"&gt;"&amp;$F448)+1,"")</f>
      </c>
    </row>
    <row r="449">
      <c r="A449" s="6"/>
      <c r="D449" s="5">
        <f>IF(OR($A449="",$B449="",$C449=""),"",COUNTIFS($B$2:$B$501,$B449,$C$2:$C$501,"&lt;&gt;",$A$2:$A$501,"&lt;"&amp;$A449)+COUNTIFS($B$1:$B448,$B449,$C$1:$C448,"&lt;&gt;",$A$1:$A448,$A449)+1)</f>
      </c>
      <c r="E449" s="5">
        <f>IF($D449="","",IF(OR($D449=1,AND(Settings!$B$4="Yes",$D449&lt;=Settings!$B$2)),IF(COUNTIFS(Players!$A$2:$A$101,$B449,Players!$B$2:$B$101,"&lt;&gt;")=0,"Add a starting quota",ROUND(SUMIFS(Players!$B$2:$B$101,Players!$A$2:$A$101,$B449),Settings!$B$3)),ROUND(SUMIFS($C$2:$C$501,$B$2:$B$501,$B449,$D$2:$D$501,"&gt;="&amp;($D449-Settings!$B$2),$D$2:$D$501,"&lt;"&amp;$D449)/COUNTIFS($B$2:$B$501,$B449,$D$2:$D$501,"&gt;="&amp;($D449-Settings!$B$2),$D$2:$D$501,"&lt;"&amp;$D449),Settings!$B$3)))</f>
      </c>
      <c r="F449" s="5">
        <f>IF(ISNUMBER($E449),ROUND($C449-$E449,2),"")</f>
      </c>
      <c r="G449" s="5">
        <f>IF(ISNUMBER($F449),COUNTIFS($A$2:$A$501,$A449,$F$2:$F$501,"&gt;"&amp;$F449)+1,"")</f>
      </c>
    </row>
    <row r="450">
      <c r="A450" s="6"/>
      <c r="D450" s="5">
        <f>IF(OR($A450="",$B450="",$C450=""),"",COUNTIFS($B$2:$B$501,$B450,$C$2:$C$501,"&lt;&gt;",$A$2:$A$501,"&lt;"&amp;$A450)+COUNTIFS($B$1:$B449,$B450,$C$1:$C449,"&lt;&gt;",$A$1:$A449,$A450)+1)</f>
      </c>
      <c r="E450" s="5">
        <f>IF($D450="","",IF(OR($D450=1,AND(Settings!$B$4="Yes",$D450&lt;=Settings!$B$2)),IF(COUNTIFS(Players!$A$2:$A$101,$B450,Players!$B$2:$B$101,"&lt;&gt;")=0,"Add a starting quota",ROUND(SUMIFS(Players!$B$2:$B$101,Players!$A$2:$A$101,$B450),Settings!$B$3)),ROUND(SUMIFS($C$2:$C$501,$B$2:$B$501,$B450,$D$2:$D$501,"&gt;="&amp;($D450-Settings!$B$2),$D$2:$D$501,"&lt;"&amp;$D450)/COUNTIFS($B$2:$B$501,$B450,$D$2:$D$501,"&gt;="&amp;($D450-Settings!$B$2),$D$2:$D$501,"&lt;"&amp;$D450),Settings!$B$3)))</f>
      </c>
      <c r="F450" s="5">
        <f>IF(ISNUMBER($E450),ROUND($C450-$E450,2),"")</f>
      </c>
      <c r="G450" s="5">
        <f>IF(ISNUMBER($F450),COUNTIFS($A$2:$A$501,$A450,$F$2:$F$501,"&gt;"&amp;$F450)+1,"")</f>
      </c>
    </row>
    <row r="451">
      <c r="A451" s="6"/>
      <c r="D451" s="5">
        <f>IF(OR($A451="",$B451="",$C451=""),"",COUNTIFS($B$2:$B$501,$B451,$C$2:$C$501,"&lt;&gt;",$A$2:$A$501,"&lt;"&amp;$A451)+COUNTIFS($B$1:$B450,$B451,$C$1:$C450,"&lt;&gt;",$A$1:$A450,$A451)+1)</f>
      </c>
      <c r="E451" s="5">
        <f>IF($D451="","",IF(OR($D451=1,AND(Settings!$B$4="Yes",$D451&lt;=Settings!$B$2)),IF(COUNTIFS(Players!$A$2:$A$101,$B451,Players!$B$2:$B$101,"&lt;&gt;")=0,"Add a starting quota",ROUND(SUMIFS(Players!$B$2:$B$101,Players!$A$2:$A$101,$B451),Settings!$B$3)),ROUND(SUMIFS($C$2:$C$501,$B$2:$B$501,$B451,$D$2:$D$501,"&gt;="&amp;($D451-Settings!$B$2),$D$2:$D$501,"&lt;"&amp;$D451)/COUNTIFS($B$2:$B$501,$B451,$D$2:$D$501,"&gt;="&amp;($D451-Settings!$B$2),$D$2:$D$501,"&lt;"&amp;$D451),Settings!$B$3)))</f>
      </c>
      <c r="F451" s="5">
        <f>IF(ISNUMBER($E451),ROUND($C451-$E451,2),"")</f>
      </c>
      <c r="G451" s="5">
        <f>IF(ISNUMBER($F451),COUNTIFS($A$2:$A$501,$A451,$F$2:$F$501,"&gt;"&amp;$F451)+1,"")</f>
      </c>
    </row>
    <row r="452">
      <c r="A452" s="6"/>
      <c r="D452" s="5">
        <f>IF(OR($A452="",$B452="",$C452=""),"",COUNTIFS($B$2:$B$501,$B452,$C$2:$C$501,"&lt;&gt;",$A$2:$A$501,"&lt;"&amp;$A452)+COUNTIFS($B$1:$B451,$B452,$C$1:$C451,"&lt;&gt;",$A$1:$A451,$A452)+1)</f>
      </c>
      <c r="E452" s="5">
        <f>IF($D452="","",IF(OR($D452=1,AND(Settings!$B$4="Yes",$D452&lt;=Settings!$B$2)),IF(COUNTIFS(Players!$A$2:$A$101,$B452,Players!$B$2:$B$101,"&lt;&gt;")=0,"Add a starting quota",ROUND(SUMIFS(Players!$B$2:$B$101,Players!$A$2:$A$101,$B452),Settings!$B$3)),ROUND(SUMIFS($C$2:$C$501,$B$2:$B$501,$B452,$D$2:$D$501,"&gt;="&amp;($D452-Settings!$B$2),$D$2:$D$501,"&lt;"&amp;$D452)/COUNTIFS($B$2:$B$501,$B452,$D$2:$D$501,"&gt;="&amp;($D452-Settings!$B$2),$D$2:$D$501,"&lt;"&amp;$D452),Settings!$B$3)))</f>
      </c>
      <c r="F452" s="5">
        <f>IF(ISNUMBER($E452),ROUND($C452-$E452,2),"")</f>
      </c>
      <c r="G452" s="5">
        <f>IF(ISNUMBER($F452),COUNTIFS($A$2:$A$501,$A452,$F$2:$F$501,"&gt;"&amp;$F452)+1,"")</f>
      </c>
    </row>
    <row r="453">
      <c r="A453" s="6"/>
      <c r="D453" s="5">
        <f>IF(OR($A453="",$B453="",$C453=""),"",COUNTIFS($B$2:$B$501,$B453,$C$2:$C$501,"&lt;&gt;",$A$2:$A$501,"&lt;"&amp;$A453)+COUNTIFS($B$1:$B452,$B453,$C$1:$C452,"&lt;&gt;",$A$1:$A452,$A453)+1)</f>
      </c>
      <c r="E453" s="5">
        <f>IF($D453="","",IF(OR($D453=1,AND(Settings!$B$4="Yes",$D453&lt;=Settings!$B$2)),IF(COUNTIFS(Players!$A$2:$A$101,$B453,Players!$B$2:$B$101,"&lt;&gt;")=0,"Add a starting quota",ROUND(SUMIFS(Players!$B$2:$B$101,Players!$A$2:$A$101,$B453),Settings!$B$3)),ROUND(SUMIFS($C$2:$C$501,$B$2:$B$501,$B453,$D$2:$D$501,"&gt;="&amp;($D453-Settings!$B$2),$D$2:$D$501,"&lt;"&amp;$D453)/COUNTIFS($B$2:$B$501,$B453,$D$2:$D$501,"&gt;="&amp;($D453-Settings!$B$2),$D$2:$D$501,"&lt;"&amp;$D453),Settings!$B$3)))</f>
      </c>
      <c r="F453" s="5">
        <f>IF(ISNUMBER($E453),ROUND($C453-$E453,2),"")</f>
      </c>
      <c r="G453" s="5">
        <f>IF(ISNUMBER($F453),COUNTIFS($A$2:$A$501,$A453,$F$2:$F$501,"&gt;"&amp;$F453)+1,"")</f>
      </c>
    </row>
    <row r="454">
      <c r="A454" s="6"/>
      <c r="D454" s="5">
        <f>IF(OR($A454="",$B454="",$C454=""),"",COUNTIFS($B$2:$B$501,$B454,$C$2:$C$501,"&lt;&gt;",$A$2:$A$501,"&lt;"&amp;$A454)+COUNTIFS($B$1:$B453,$B454,$C$1:$C453,"&lt;&gt;",$A$1:$A453,$A454)+1)</f>
      </c>
      <c r="E454" s="5">
        <f>IF($D454="","",IF(OR($D454=1,AND(Settings!$B$4="Yes",$D454&lt;=Settings!$B$2)),IF(COUNTIFS(Players!$A$2:$A$101,$B454,Players!$B$2:$B$101,"&lt;&gt;")=0,"Add a starting quota",ROUND(SUMIFS(Players!$B$2:$B$101,Players!$A$2:$A$101,$B454),Settings!$B$3)),ROUND(SUMIFS($C$2:$C$501,$B$2:$B$501,$B454,$D$2:$D$501,"&gt;="&amp;($D454-Settings!$B$2),$D$2:$D$501,"&lt;"&amp;$D454)/COUNTIFS($B$2:$B$501,$B454,$D$2:$D$501,"&gt;="&amp;($D454-Settings!$B$2),$D$2:$D$501,"&lt;"&amp;$D454),Settings!$B$3)))</f>
      </c>
      <c r="F454" s="5">
        <f>IF(ISNUMBER($E454),ROUND($C454-$E454,2),"")</f>
      </c>
      <c r="G454" s="5">
        <f>IF(ISNUMBER($F454),COUNTIFS($A$2:$A$501,$A454,$F$2:$F$501,"&gt;"&amp;$F454)+1,"")</f>
      </c>
    </row>
    <row r="455">
      <c r="A455" s="6"/>
      <c r="D455" s="5">
        <f>IF(OR($A455="",$B455="",$C455=""),"",COUNTIFS($B$2:$B$501,$B455,$C$2:$C$501,"&lt;&gt;",$A$2:$A$501,"&lt;"&amp;$A455)+COUNTIFS($B$1:$B454,$B455,$C$1:$C454,"&lt;&gt;",$A$1:$A454,$A455)+1)</f>
      </c>
      <c r="E455" s="5">
        <f>IF($D455="","",IF(OR($D455=1,AND(Settings!$B$4="Yes",$D455&lt;=Settings!$B$2)),IF(COUNTIFS(Players!$A$2:$A$101,$B455,Players!$B$2:$B$101,"&lt;&gt;")=0,"Add a starting quota",ROUND(SUMIFS(Players!$B$2:$B$101,Players!$A$2:$A$101,$B455),Settings!$B$3)),ROUND(SUMIFS($C$2:$C$501,$B$2:$B$501,$B455,$D$2:$D$501,"&gt;="&amp;($D455-Settings!$B$2),$D$2:$D$501,"&lt;"&amp;$D455)/COUNTIFS($B$2:$B$501,$B455,$D$2:$D$501,"&gt;="&amp;($D455-Settings!$B$2),$D$2:$D$501,"&lt;"&amp;$D455),Settings!$B$3)))</f>
      </c>
      <c r="F455" s="5">
        <f>IF(ISNUMBER($E455),ROUND($C455-$E455,2),"")</f>
      </c>
      <c r="G455" s="5">
        <f>IF(ISNUMBER($F455),COUNTIFS($A$2:$A$501,$A455,$F$2:$F$501,"&gt;"&amp;$F455)+1,"")</f>
      </c>
    </row>
    <row r="456">
      <c r="A456" s="6"/>
      <c r="D456" s="5">
        <f>IF(OR($A456="",$B456="",$C456=""),"",COUNTIFS($B$2:$B$501,$B456,$C$2:$C$501,"&lt;&gt;",$A$2:$A$501,"&lt;"&amp;$A456)+COUNTIFS($B$1:$B455,$B456,$C$1:$C455,"&lt;&gt;",$A$1:$A455,$A456)+1)</f>
      </c>
      <c r="E456" s="5">
        <f>IF($D456="","",IF(OR($D456=1,AND(Settings!$B$4="Yes",$D456&lt;=Settings!$B$2)),IF(COUNTIFS(Players!$A$2:$A$101,$B456,Players!$B$2:$B$101,"&lt;&gt;")=0,"Add a starting quota",ROUND(SUMIFS(Players!$B$2:$B$101,Players!$A$2:$A$101,$B456),Settings!$B$3)),ROUND(SUMIFS($C$2:$C$501,$B$2:$B$501,$B456,$D$2:$D$501,"&gt;="&amp;($D456-Settings!$B$2),$D$2:$D$501,"&lt;"&amp;$D456)/COUNTIFS($B$2:$B$501,$B456,$D$2:$D$501,"&gt;="&amp;($D456-Settings!$B$2),$D$2:$D$501,"&lt;"&amp;$D456),Settings!$B$3)))</f>
      </c>
      <c r="F456" s="5">
        <f>IF(ISNUMBER($E456),ROUND($C456-$E456,2),"")</f>
      </c>
      <c r="G456" s="5">
        <f>IF(ISNUMBER($F456),COUNTIFS($A$2:$A$501,$A456,$F$2:$F$501,"&gt;"&amp;$F456)+1,"")</f>
      </c>
    </row>
    <row r="457">
      <c r="A457" s="6"/>
      <c r="D457" s="5">
        <f>IF(OR($A457="",$B457="",$C457=""),"",COUNTIFS($B$2:$B$501,$B457,$C$2:$C$501,"&lt;&gt;",$A$2:$A$501,"&lt;"&amp;$A457)+COUNTIFS($B$1:$B456,$B457,$C$1:$C456,"&lt;&gt;",$A$1:$A456,$A457)+1)</f>
      </c>
      <c r="E457" s="5">
        <f>IF($D457="","",IF(OR($D457=1,AND(Settings!$B$4="Yes",$D457&lt;=Settings!$B$2)),IF(COUNTIFS(Players!$A$2:$A$101,$B457,Players!$B$2:$B$101,"&lt;&gt;")=0,"Add a starting quota",ROUND(SUMIFS(Players!$B$2:$B$101,Players!$A$2:$A$101,$B457),Settings!$B$3)),ROUND(SUMIFS($C$2:$C$501,$B$2:$B$501,$B457,$D$2:$D$501,"&gt;="&amp;($D457-Settings!$B$2),$D$2:$D$501,"&lt;"&amp;$D457)/COUNTIFS($B$2:$B$501,$B457,$D$2:$D$501,"&gt;="&amp;($D457-Settings!$B$2),$D$2:$D$501,"&lt;"&amp;$D457),Settings!$B$3)))</f>
      </c>
      <c r="F457" s="5">
        <f>IF(ISNUMBER($E457),ROUND($C457-$E457,2),"")</f>
      </c>
      <c r="G457" s="5">
        <f>IF(ISNUMBER($F457),COUNTIFS($A$2:$A$501,$A457,$F$2:$F$501,"&gt;"&amp;$F457)+1,"")</f>
      </c>
    </row>
    <row r="458">
      <c r="A458" s="6"/>
      <c r="D458" s="5">
        <f>IF(OR($A458="",$B458="",$C458=""),"",COUNTIFS($B$2:$B$501,$B458,$C$2:$C$501,"&lt;&gt;",$A$2:$A$501,"&lt;"&amp;$A458)+COUNTIFS($B$1:$B457,$B458,$C$1:$C457,"&lt;&gt;",$A$1:$A457,$A458)+1)</f>
      </c>
      <c r="E458" s="5">
        <f>IF($D458="","",IF(OR($D458=1,AND(Settings!$B$4="Yes",$D458&lt;=Settings!$B$2)),IF(COUNTIFS(Players!$A$2:$A$101,$B458,Players!$B$2:$B$101,"&lt;&gt;")=0,"Add a starting quota",ROUND(SUMIFS(Players!$B$2:$B$101,Players!$A$2:$A$101,$B458),Settings!$B$3)),ROUND(SUMIFS($C$2:$C$501,$B$2:$B$501,$B458,$D$2:$D$501,"&gt;="&amp;($D458-Settings!$B$2),$D$2:$D$501,"&lt;"&amp;$D458)/COUNTIFS($B$2:$B$501,$B458,$D$2:$D$501,"&gt;="&amp;($D458-Settings!$B$2),$D$2:$D$501,"&lt;"&amp;$D458),Settings!$B$3)))</f>
      </c>
      <c r="F458" s="5">
        <f>IF(ISNUMBER($E458),ROUND($C458-$E458,2),"")</f>
      </c>
      <c r="G458" s="5">
        <f>IF(ISNUMBER($F458),COUNTIFS($A$2:$A$501,$A458,$F$2:$F$501,"&gt;"&amp;$F458)+1,"")</f>
      </c>
    </row>
    <row r="459">
      <c r="A459" s="6"/>
      <c r="D459" s="5">
        <f>IF(OR($A459="",$B459="",$C459=""),"",COUNTIFS($B$2:$B$501,$B459,$C$2:$C$501,"&lt;&gt;",$A$2:$A$501,"&lt;"&amp;$A459)+COUNTIFS($B$1:$B458,$B459,$C$1:$C458,"&lt;&gt;",$A$1:$A458,$A459)+1)</f>
      </c>
      <c r="E459" s="5">
        <f>IF($D459="","",IF(OR($D459=1,AND(Settings!$B$4="Yes",$D459&lt;=Settings!$B$2)),IF(COUNTIFS(Players!$A$2:$A$101,$B459,Players!$B$2:$B$101,"&lt;&gt;")=0,"Add a starting quota",ROUND(SUMIFS(Players!$B$2:$B$101,Players!$A$2:$A$101,$B459),Settings!$B$3)),ROUND(SUMIFS($C$2:$C$501,$B$2:$B$501,$B459,$D$2:$D$501,"&gt;="&amp;($D459-Settings!$B$2),$D$2:$D$501,"&lt;"&amp;$D459)/COUNTIFS($B$2:$B$501,$B459,$D$2:$D$501,"&gt;="&amp;($D459-Settings!$B$2),$D$2:$D$501,"&lt;"&amp;$D459),Settings!$B$3)))</f>
      </c>
      <c r="F459" s="5">
        <f>IF(ISNUMBER($E459),ROUND($C459-$E459,2),"")</f>
      </c>
      <c r="G459" s="5">
        <f>IF(ISNUMBER($F459),COUNTIFS($A$2:$A$501,$A459,$F$2:$F$501,"&gt;"&amp;$F459)+1,"")</f>
      </c>
    </row>
    <row r="460">
      <c r="A460" s="6"/>
      <c r="D460" s="5">
        <f>IF(OR($A460="",$B460="",$C460=""),"",COUNTIFS($B$2:$B$501,$B460,$C$2:$C$501,"&lt;&gt;",$A$2:$A$501,"&lt;"&amp;$A460)+COUNTIFS($B$1:$B459,$B460,$C$1:$C459,"&lt;&gt;",$A$1:$A459,$A460)+1)</f>
      </c>
      <c r="E460" s="5">
        <f>IF($D460="","",IF(OR($D460=1,AND(Settings!$B$4="Yes",$D460&lt;=Settings!$B$2)),IF(COUNTIFS(Players!$A$2:$A$101,$B460,Players!$B$2:$B$101,"&lt;&gt;")=0,"Add a starting quota",ROUND(SUMIFS(Players!$B$2:$B$101,Players!$A$2:$A$101,$B460),Settings!$B$3)),ROUND(SUMIFS($C$2:$C$501,$B$2:$B$501,$B460,$D$2:$D$501,"&gt;="&amp;($D460-Settings!$B$2),$D$2:$D$501,"&lt;"&amp;$D460)/COUNTIFS($B$2:$B$501,$B460,$D$2:$D$501,"&gt;="&amp;($D460-Settings!$B$2),$D$2:$D$501,"&lt;"&amp;$D460),Settings!$B$3)))</f>
      </c>
      <c r="F460" s="5">
        <f>IF(ISNUMBER($E460),ROUND($C460-$E460,2),"")</f>
      </c>
      <c r="G460" s="5">
        <f>IF(ISNUMBER($F460),COUNTIFS($A$2:$A$501,$A460,$F$2:$F$501,"&gt;"&amp;$F460)+1,"")</f>
      </c>
    </row>
    <row r="461">
      <c r="A461" s="6"/>
      <c r="D461" s="5">
        <f>IF(OR($A461="",$B461="",$C461=""),"",COUNTIFS($B$2:$B$501,$B461,$C$2:$C$501,"&lt;&gt;",$A$2:$A$501,"&lt;"&amp;$A461)+COUNTIFS($B$1:$B460,$B461,$C$1:$C460,"&lt;&gt;",$A$1:$A460,$A461)+1)</f>
      </c>
      <c r="E461" s="5">
        <f>IF($D461="","",IF(OR($D461=1,AND(Settings!$B$4="Yes",$D461&lt;=Settings!$B$2)),IF(COUNTIFS(Players!$A$2:$A$101,$B461,Players!$B$2:$B$101,"&lt;&gt;")=0,"Add a starting quota",ROUND(SUMIFS(Players!$B$2:$B$101,Players!$A$2:$A$101,$B461),Settings!$B$3)),ROUND(SUMIFS($C$2:$C$501,$B$2:$B$501,$B461,$D$2:$D$501,"&gt;="&amp;($D461-Settings!$B$2),$D$2:$D$501,"&lt;"&amp;$D461)/COUNTIFS($B$2:$B$501,$B461,$D$2:$D$501,"&gt;="&amp;($D461-Settings!$B$2),$D$2:$D$501,"&lt;"&amp;$D461),Settings!$B$3)))</f>
      </c>
      <c r="F461" s="5">
        <f>IF(ISNUMBER($E461),ROUND($C461-$E461,2),"")</f>
      </c>
      <c r="G461" s="5">
        <f>IF(ISNUMBER($F461),COUNTIFS($A$2:$A$501,$A461,$F$2:$F$501,"&gt;"&amp;$F461)+1,"")</f>
      </c>
    </row>
    <row r="462">
      <c r="A462" s="6"/>
      <c r="D462" s="5">
        <f>IF(OR($A462="",$B462="",$C462=""),"",COUNTIFS($B$2:$B$501,$B462,$C$2:$C$501,"&lt;&gt;",$A$2:$A$501,"&lt;"&amp;$A462)+COUNTIFS($B$1:$B461,$B462,$C$1:$C461,"&lt;&gt;",$A$1:$A461,$A462)+1)</f>
      </c>
      <c r="E462" s="5">
        <f>IF($D462="","",IF(OR($D462=1,AND(Settings!$B$4="Yes",$D462&lt;=Settings!$B$2)),IF(COUNTIFS(Players!$A$2:$A$101,$B462,Players!$B$2:$B$101,"&lt;&gt;")=0,"Add a starting quota",ROUND(SUMIFS(Players!$B$2:$B$101,Players!$A$2:$A$101,$B462),Settings!$B$3)),ROUND(SUMIFS($C$2:$C$501,$B$2:$B$501,$B462,$D$2:$D$501,"&gt;="&amp;($D462-Settings!$B$2),$D$2:$D$501,"&lt;"&amp;$D462)/COUNTIFS($B$2:$B$501,$B462,$D$2:$D$501,"&gt;="&amp;($D462-Settings!$B$2),$D$2:$D$501,"&lt;"&amp;$D462),Settings!$B$3)))</f>
      </c>
      <c r="F462" s="5">
        <f>IF(ISNUMBER($E462),ROUND($C462-$E462,2),"")</f>
      </c>
      <c r="G462" s="5">
        <f>IF(ISNUMBER($F462),COUNTIFS($A$2:$A$501,$A462,$F$2:$F$501,"&gt;"&amp;$F462)+1,"")</f>
      </c>
    </row>
    <row r="463">
      <c r="A463" s="6"/>
      <c r="D463" s="5">
        <f>IF(OR($A463="",$B463="",$C463=""),"",COUNTIFS($B$2:$B$501,$B463,$C$2:$C$501,"&lt;&gt;",$A$2:$A$501,"&lt;"&amp;$A463)+COUNTIFS($B$1:$B462,$B463,$C$1:$C462,"&lt;&gt;",$A$1:$A462,$A463)+1)</f>
      </c>
      <c r="E463" s="5">
        <f>IF($D463="","",IF(OR($D463=1,AND(Settings!$B$4="Yes",$D463&lt;=Settings!$B$2)),IF(COUNTIFS(Players!$A$2:$A$101,$B463,Players!$B$2:$B$101,"&lt;&gt;")=0,"Add a starting quota",ROUND(SUMIFS(Players!$B$2:$B$101,Players!$A$2:$A$101,$B463),Settings!$B$3)),ROUND(SUMIFS($C$2:$C$501,$B$2:$B$501,$B463,$D$2:$D$501,"&gt;="&amp;($D463-Settings!$B$2),$D$2:$D$501,"&lt;"&amp;$D463)/COUNTIFS($B$2:$B$501,$B463,$D$2:$D$501,"&gt;="&amp;($D463-Settings!$B$2),$D$2:$D$501,"&lt;"&amp;$D463),Settings!$B$3)))</f>
      </c>
      <c r="F463" s="5">
        <f>IF(ISNUMBER($E463),ROUND($C463-$E463,2),"")</f>
      </c>
      <c r="G463" s="5">
        <f>IF(ISNUMBER($F463),COUNTIFS($A$2:$A$501,$A463,$F$2:$F$501,"&gt;"&amp;$F463)+1,"")</f>
      </c>
    </row>
    <row r="464">
      <c r="A464" s="6"/>
      <c r="D464" s="5">
        <f>IF(OR($A464="",$B464="",$C464=""),"",COUNTIFS($B$2:$B$501,$B464,$C$2:$C$501,"&lt;&gt;",$A$2:$A$501,"&lt;"&amp;$A464)+COUNTIFS($B$1:$B463,$B464,$C$1:$C463,"&lt;&gt;",$A$1:$A463,$A464)+1)</f>
      </c>
      <c r="E464" s="5">
        <f>IF($D464="","",IF(OR($D464=1,AND(Settings!$B$4="Yes",$D464&lt;=Settings!$B$2)),IF(COUNTIFS(Players!$A$2:$A$101,$B464,Players!$B$2:$B$101,"&lt;&gt;")=0,"Add a starting quota",ROUND(SUMIFS(Players!$B$2:$B$101,Players!$A$2:$A$101,$B464),Settings!$B$3)),ROUND(SUMIFS($C$2:$C$501,$B$2:$B$501,$B464,$D$2:$D$501,"&gt;="&amp;($D464-Settings!$B$2),$D$2:$D$501,"&lt;"&amp;$D464)/COUNTIFS($B$2:$B$501,$B464,$D$2:$D$501,"&gt;="&amp;($D464-Settings!$B$2),$D$2:$D$501,"&lt;"&amp;$D464),Settings!$B$3)))</f>
      </c>
      <c r="F464" s="5">
        <f>IF(ISNUMBER($E464),ROUND($C464-$E464,2),"")</f>
      </c>
      <c r="G464" s="5">
        <f>IF(ISNUMBER($F464),COUNTIFS($A$2:$A$501,$A464,$F$2:$F$501,"&gt;"&amp;$F464)+1,"")</f>
      </c>
    </row>
    <row r="465">
      <c r="A465" s="6"/>
      <c r="D465" s="5">
        <f>IF(OR($A465="",$B465="",$C465=""),"",COUNTIFS($B$2:$B$501,$B465,$C$2:$C$501,"&lt;&gt;",$A$2:$A$501,"&lt;"&amp;$A465)+COUNTIFS($B$1:$B464,$B465,$C$1:$C464,"&lt;&gt;",$A$1:$A464,$A465)+1)</f>
      </c>
      <c r="E465" s="5">
        <f>IF($D465="","",IF(OR($D465=1,AND(Settings!$B$4="Yes",$D465&lt;=Settings!$B$2)),IF(COUNTIFS(Players!$A$2:$A$101,$B465,Players!$B$2:$B$101,"&lt;&gt;")=0,"Add a starting quota",ROUND(SUMIFS(Players!$B$2:$B$101,Players!$A$2:$A$101,$B465),Settings!$B$3)),ROUND(SUMIFS($C$2:$C$501,$B$2:$B$501,$B465,$D$2:$D$501,"&gt;="&amp;($D465-Settings!$B$2),$D$2:$D$501,"&lt;"&amp;$D465)/COUNTIFS($B$2:$B$501,$B465,$D$2:$D$501,"&gt;="&amp;($D465-Settings!$B$2),$D$2:$D$501,"&lt;"&amp;$D465),Settings!$B$3)))</f>
      </c>
      <c r="F465" s="5">
        <f>IF(ISNUMBER($E465),ROUND($C465-$E465,2),"")</f>
      </c>
      <c r="G465" s="5">
        <f>IF(ISNUMBER($F465),COUNTIFS($A$2:$A$501,$A465,$F$2:$F$501,"&gt;"&amp;$F465)+1,"")</f>
      </c>
    </row>
    <row r="466">
      <c r="A466" s="6"/>
      <c r="D466" s="5">
        <f>IF(OR($A466="",$B466="",$C466=""),"",COUNTIFS($B$2:$B$501,$B466,$C$2:$C$501,"&lt;&gt;",$A$2:$A$501,"&lt;"&amp;$A466)+COUNTIFS($B$1:$B465,$B466,$C$1:$C465,"&lt;&gt;",$A$1:$A465,$A466)+1)</f>
      </c>
      <c r="E466" s="5">
        <f>IF($D466="","",IF(OR($D466=1,AND(Settings!$B$4="Yes",$D466&lt;=Settings!$B$2)),IF(COUNTIFS(Players!$A$2:$A$101,$B466,Players!$B$2:$B$101,"&lt;&gt;")=0,"Add a starting quota",ROUND(SUMIFS(Players!$B$2:$B$101,Players!$A$2:$A$101,$B466),Settings!$B$3)),ROUND(SUMIFS($C$2:$C$501,$B$2:$B$501,$B466,$D$2:$D$501,"&gt;="&amp;($D466-Settings!$B$2),$D$2:$D$501,"&lt;"&amp;$D466)/COUNTIFS($B$2:$B$501,$B466,$D$2:$D$501,"&gt;="&amp;($D466-Settings!$B$2),$D$2:$D$501,"&lt;"&amp;$D466),Settings!$B$3)))</f>
      </c>
      <c r="F466" s="5">
        <f>IF(ISNUMBER($E466),ROUND($C466-$E466,2),"")</f>
      </c>
      <c r="G466" s="5">
        <f>IF(ISNUMBER($F466),COUNTIFS($A$2:$A$501,$A466,$F$2:$F$501,"&gt;"&amp;$F466)+1,"")</f>
      </c>
    </row>
    <row r="467">
      <c r="A467" s="6"/>
      <c r="D467" s="5">
        <f>IF(OR($A467="",$B467="",$C467=""),"",COUNTIFS($B$2:$B$501,$B467,$C$2:$C$501,"&lt;&gt;",$A$2:$A$501,"&lt;"&amp;$A467)+COUNTIFS($B$1:$B466,$B467,$C$1:$C466,"&lt;&gt;",$A$1:$A466,$A467)+1)</f>
      </c>
      <c r="E467" s="5">
        <f>IF($D467="","",IF(OR($D467=1,AND(Settings!$B$4="Yes",$D467&lt;=Settings!$B$2)),IF(COUNTIFS(Players!$A$2:$A$101,$B467,Players!$B$2:$B$101,"&lt;&gt;")=0,"Add a starting quota",ROUND(SUMIFS(Players!$B$2:$B$101,Players!$A$2:$A$101,$B467),Settings!$B$3)),ROUND(SUMIFS($C$2:$C$501,$B$2:$B$501,$B467,$D$2:$D$501,"&gt;="&amp;($D467-Settings!$B$2),$D$2:$D$501,"&lt;"&amp;$D467)/COUNTIFS($B$2:$B$501,$B467,$D$2:$D$501,"&gt;="&amp;($D467-Settings!$B$2),$D$2:$D$501,"&lt;"&amp;$D467),Settings!$B$3)))</f>
      </c>
      <c r="F467" s="5">
        <f>IF(ISNUMBER($E467),ROUND($C467-$E467,2),"")</f>
      </c>
      <c r="G467" s="5">
        <f>IF(ISNUMBER($F467),COUNTIFS($A$2:$A$501,$A467,$F$2:$F$501,"&gt;"&amp;$F467)+1,"")</f>
      </c>
    </row>
    <row r="468">
      <c r="A468" s="6"/>
      <c r="D468" s="5">
        <f>IF(OR($A468="",$B468="",$C468=""),"",COUNTIFS($B$2:$B$501,$B468,$C$2:$C$501,"&lt;&gt;",$A$2:$A$501,"&lt;"&amp;$A468)+COUNTIFS($B$1:$B467,$B468,$C$1:$C467,"&lt;&gt;",$A$1:$A467,$A468)+1)</f>
      </c>
      <c r="E468" s="5">
        <f>IF($D468="","",IF(OR($D468=1,AND(Settings!$B$4="Yes",$D468&lt;=Settings!$B$2)),IF(COUNTIFS(Players!$A$2:$A$101,$B468,Players!$B$2:$B$101,"&lt;&gt;")=0,"Add a starting quota",ROUND(SUMIFS(Players!$B$2:$B$101,Players!$A$2:$A$101,$B468),Settings!$B$3)),ROUND(SUMIFS($C$2:$C$501,$B$2:$B$501,$B468,$D$2:$D$501,"&gt;="&amp;($D468-Settings!$B$2),$D$2:$D$501,"&lt;"&amp;$D468)/COUNTIFS($B$2:$B$501,$B468,$D$2:$D$501,"&gt;="&amp;($D468-Settings!$B$2),$D$2:$D$501,"&lt;"&amp;$D468),Settings!$B$3)))</f>
      </c>
      <c r="F468" s="5">
        <f>IF(ISNUMBER($E468),ROUND($C468-$E468,2),"")</f>
      </c>
      <c r="G468" s="5">
        <f>IF(ISNUMBER($F468),COUNTIFS($A$2:$A$501,$A468,$F$2:$F$501,"&gt;"&amp;$F468)+1,"")</f>
      </c>
    </row>
    <row r="469">
      <c r="A469" s="6"/>
      <c r="D469" s="5">
        <f>IF(OR($A469="",$B469="",$C469=""),"",COUNTIFS($B$2:$B$501,$B469,$C$2:$C$501,"&lt;&gt;",$A$2:$A$501,"&lt;"&amp;$A469)+COUNTIFS($B$1:$B468,$B469,$C$1:$C468,"&lt;&gt;",$A$1:$A468,$A469)+1)</f>
      </c>
      <c r="E469" s="5">
        <f>IF($D469="","",IF(OR($D469=1,AND(Settings!$B$4="Yes",$D469&lt;=Settings!$B$2)),IF(COUNTIFS(Players!$A$2:$A$101,$B469,Players!$B$2:$B$101,"&lt;&gt;")=0,"Add a starting quota",ROUND(SUMIFS(Players!$B$2:$B$101,Players!$A$2:$A$101,$B469),Settings!$B$3)),ROUND(SUMIFS($C$2:$C$501,$B$2:$B$501,$B469,$D$2:$D$501,"&gt;="&amp;($D469-Settings!$B$2),$D$2:$D$501,"&lt;"&amp;$D469)/COUNTIFS($B$2:$B$501,$B469,$D$2:$D$501,"&gt;="&amp;($D469-Settings!$B$2),$D$2:$D$501,"&lt;"&amp;$D469),Settings!$B$3)))</f>
      </c>
      <c r="F469" s="5">
        <f>IF(ISNUMBER($E469),ROUND($C469-$E469,2),"")</f>
      </c>
      <c r="G469" s="5">
        <f>IF(ISNUMBER($F469),COUNTIFS($A$2:$A$501,$A469,$F$2:$F$501,"&gt;"&amp;$F469)+1,"")</f>
      </c>
    </row>
    <row r="470">
      <c r="A470" s="6"/>
      <c r="D470" s="5">
        <f>IF(OR($A470="",$B470="",$C470=""),"",COUNTIFS($B$2:$B$501,$B470,$C$2:$C$501,"&lt;&gt;",$A$2:$A$501,"&lt;"&amp;$A470)+COUNTIFS($B$1:$B469,$B470,$C$1:$C469,"&lt;&gt;",$A$1:$A469,$A470)+1)</f>
      </c>
      <c r="E470" s="5">
        <f>IF($D470="","",IF(OR($D470=1,AND(Settings!$B$4="Yes",$D470&lt;=Settings!$B$2)),IF(COUNTIFS(Players!$A$2:$A$101,$B470,Players!$B$2:$B$101,"&lt;&gt;")=0,"Add a starting quota",ROUND(SUMIFS(Players!$B$2:$B$101,Players!$A$2:$A$101,$B470),Settings!$B$3)),ROUND(SUMIFS($C$2:$C$501,$B$2:$B$501,$B470,$D$2:$D$501,"&gt;="&amp;($D470-Settings!$B$2),$D$2:$D$501,"&lt;"&amp;$D470)/COUNTIFS($B$2:$B$501,$B470,$D$2:$D$501,"&gt;="&amp;($D470-Settings!$B$2),$D$2:$D$501,"&lt;"&amp;$D470),Settings!$B$3)))</f>
      </c>
      <c r="F470" s="5">
        <f>IF(ISNUMBER($E470),ROUND($C470-$E470,2),"")</f>
      </c>
      <c r="G470" s="5">
        <f>IF(ISNUMBER($F470),COUNTIFS($A$2:$A$501,$A470,$F$2:$F$501,"&gt;"&amp;$F470)+1,"")</f>
      </c>
    </row>
    <row r="471">
      <c r="A471" s="6"/>
      <c r="D471" s="5">
        <f>IF(OR($A471="",$B471="",$C471=""),"",COUNTIFS($B$2:$B$501,$B471,$C$2:$C$501,"&lt;&gt;",$A$2:$A$501,"&lt;"&amp;$A471)+COUNTIFS($B$1:$B470,$B471,$C$1:$C470,"&lt;&gt;",$A$1:$A470,$A471)+1)</f>
      </c>
      <c r="E471" s="5">
        <f>IF($D471="","",IF(OR($D471=1,AND(Settings!$B$4="Yes",$D471&lt;=Settings!$B$2)),IF(COUNTIFS(Players!$A$2:$A$101,$B471,Players!$B$2:$B$101,"&lt;&gt;")=0,"Add a starting quota",ROUND(SUMIFS(Players!$B$2:$B$101,Players!$A$2:$A$101,$B471),Settings!$B$3)),ROUND(SUMIFS($C$2:$C$501,$B$2:$B$501,$B471,$D$2:$D$501,"&gt;="&amp;($D471-Settings!$B$2),$D$2:$D$501,"&lt;"&amp;$D471)/COUNTIFS($B$2:$B$501,$B471,$D$2:$D$501,"&gt;="&amp;($D471-Settings!$B$2),$D$2:$D$501,"&lt;"&amp;$D471),Settings!$B$3)))</f>
      </c>
      <c r="F471" s="5">
        <f>IF(ISNUMBER($E471),ROUND($C471-$E471,2),"")</f>
      </c>
      <c r="G471" s="5">
        <f>IF(ISNUMBER($F471),COUNTIFS($A$2:$A$501,$A471,$F$2:$F$501,"&gt;"&amp;$F471)+1,"")</f>
      </c>
    </row>
    <row r="472">
      <c r="A472" s="6"/>
      <c r="D472" s="5">
        <f>IF(OR($A472="",$B472="",$C472=""),"",COUNTIFS($B$2:$B$501,$B472,$C$2:$C$501,"&lt;&gt;",$A$2:$A$501,"&lt;"&amp;$A472)+COUNTIFS($B$1:$B471,$B472,$C$1:$C471,"&lt;&gt;",$A$1:$A471,$A472)+1)</f>
      </c>
      <c r="E472" s="5">
        <f>IF($D472="","",IF(OR($D472=1,AND(Settings!$B$4="Yes",$D472&lt;=Settings!$B$2)),IF(COUNTIFS(Players!$A$2:$A$101,$B472,Players!$B$2:$B$101,"&lt;&gt;")=0,"Add a starting quota",ROUND(SUMIFS(Players!$B$2:$B$101,Players!$A$2:$A$101,$B472),Settings!$B$3)),ROUND(SUMIFS($C$2:$C$501,$B$2:$B$501,$B472,$D$2:$D$501,"&gt;="&amp;($D472-Settings!$B$2),$D$2:$D$501,"&lt;"&amp;$D472)/COUNTIFS($B$2:$B$501,$B472,$D$2:$D$501,"&gt;="&amp;($D472-Settings!$B$2),$D$2:$D$501,"&lt;"&amp;$D472),Settings!$B$3)))</f>
      </c>
      <c r="F472" s="5">
        <f>IF(ISNUMBER($E472),ROUND($C472-$E472,2),"")</f>
      </c>
      <c r="G472" s="5">
        <f>IF(ISNUMBER($F472),COUNTIFS($A$2:$A$501,$A472,$F$2:$F$501,"&gt;"&amp;$F472)+1,"")</f>
      </c>
    </row>
    <row r="473">
      <c r="A473" s="6"/>
      <c r="D473" s="5">
        <f>IF(OR($A473="",$B473="",$C473=""),"",COUNTIFS($B$2:$B$501,$B473,$C$2:$C$501,"&lt;&gt;",$A$2:$A$501,"&lt;"&amp;$A473)+COUNTIFS($B$1:$B472,$B473,$C$1:$C472,"&lt;&gt;",$A$1:$A472,$A473)+1)</f>
      </c>
      <c r="E473" s="5">
        <f>IF($D473="","",IF(OR($D473=1,AND(Settings!$B$4="Yes",$D473&lt;=Settings!$B$2)),IF(COUNTIFS(Players!$A$2:$A$101,$B473,Players!$B$2:$B$101,"&lt;&gt;")=0,"Add a starting quota",ROUND(SUMIFS(Players!$B$2:$B$101,Players!$A$2:$A$101,$B473),Settings!$B$3)),ROUND(SUMIFS($C$2:$C$501,$B$2:$B$501,$B473,$D$2:$D$501,"&gt;="&amp;($D473-Settings!$B$2),$D$2:$D$501,"&lt;"&amp;$D473)/COUNTIFS($B$2:$B$501,$B473,$D$2:$D$501,"&gt;="&amp;($D473-Settings!$B$2),$D$2:$D$501,"&lt;"&amp;$D473),Settings!$B$3)))</f>
      </c>
      <c r="F473" s="5">
        <f>IF(ISNUMBER($E473),ROUND($C473-$E473,2),"")</f>
      </c>
      <c r="G473" s="5">
        <f>IF(ISNUMBER($F473),COUNTIFS($A$2:$A$501,$A473,$F$2:$F$501,"&gt;"&amp;$F473)+1,"")</f>
      </c>
    </row>
    <row r="474">
      <c r="A474" s="6"/>
      <c r="D474" s="5">
        <f>IF(OR($A474="",$B474="",$C474=""),"",COUNTIFS($B$2:$B$501,$B474,$C$2:$C$501,"&lt;&gt;",$A$2:$A$501,"&lt;"&amp;$A474)+COUNTIFS($B$1:$B473,$B474,$C$1:$C473,"&lt;&gt;",$A$1:$A473,$A474)+1)</f>
      </c>
      <c r="E474" s="5">
        <f>IF($D474="","",IF(OR($D474=1,AND(Settings!$B$4="Yes",$D474&lt;=Settings!$B$2)),IF(COUNTIFS(Players!$A$2:$A$101,$B474,Players!$B$2:$B$101,"&lt;&gt;")=0,"Add a starting quota",ROUND(SUMIFS(Players!$B$2:$B$101,Players!$A$2:$A$101,$B474),Settings!$B$3)),ROUND(SUMIFS($C$2:$C$501,$B$2:$B$501,$B474,$D$2:$D$501,"&gt;="&amp;($D474-Settings!$B$2),$D$2:$D$501,"&lt;"&amp;$D474)/COUNTIFS($B$2:$B$501,$B474,$D$2:$D$501,"&gt;="&amp;($D474-Settings!$B$2),$D$2:$D$501,"&lt;"&amp;$D474),Settings!$B$3)))</f>
      </c>
      <c r="F474" s="5">
        <f>IF(ISNUMBER($E474),ROUND($C474-$E474,2),"")</f>
      </c>
      <c r="G474" s="5">
        <f>IF(ISNUMBER($F474),COUNTIFS($A$2:$A$501,$A474,$F$2:$F$501,"&gt;"&amp;$F474)+1,"")</f>
      </c>
    </row>
    <row r="475">
      <c r="A475" s="6"/>
      <c r="D475" s="5">
        <f>IF(OR($A475="",$B475="",$C475=""),"",COUNTIFS($B$2:$B$501,$B475,$C$2:$C$501,"&lt;&gt;",$A$2:$A$501,"&lt;"&amp;$A475)+COUNTIFS($B$1:$B474,$B475,$C$1:$C474,"&lt;&gt;",$A$1:$A474,$A475)+1)</f>
      </c>
      <c r="E475" s="5">
        <f>IF($D475="","",IF(OR($D475=1,AND(Settings!$B$4="Yes",$D475&lt;=Settings!$B$2)),IF(COUNTIFS(Players!$A$2:$A$101,$B475,Players!$B$2:$B$101,"&lt;&gt;")=0,"Add a starting quota",ROUND(SUMIFS(Players!$B$2:$B$101,Players!$A$2:$A$101,$B475),Settings!$B$3)),ROUND(SUMIFS($C$2:$C$501,$B$2:$B$501,$B475,$D$2:$D$501,"&gt;="&amp;($D475-Settings!$B$2),$D$2:$D$501,"&lt;"&amp;$D475)/COUNTIFS($B$2:$B$501,$B475,$D$2:$D$501,"&gt;="&amp;($D475-Settings!$B$2),$D$2:$D$501,"&lt;"&amp;$D475),Settings!$B$3)))</f>
      </c>
      <c r="F475" s="5">
        <f>IF(ISNUMBER($E475),ROUND($C475-$E475,2),"")</f>
      </c>
      <c r="G475" s="5">
        <f>IF(ISNUMBER($F475),COUNTIFS($A$2:$A$501,$A475,$F$2:$F$501,"&gt;"&amp;$F475)+1,"")</f>
      </c>
    </row>
    <row r="476">
      <c r="A476" s="6"/>
      <c r="D476" s="5">
        <f>IF(OR($A476="",$B476="",$C476=""),"",COUNTIFS($B$2:$B$501,$B476,$C$2:$C$501,"&lt;&gt;",$A$2:$A$501,"&lt;"&amp;$A476)+COUNTIFS($B$1:$B475,$B476,$C$1:$C475,"&lt;&gt;",$A$1:$A475,$A476)+1)</f>
      </c>
      <c r="E476" s="5">
        <f>IF($D476="","",IF(OR($D476=1,AND(Settings!$B$4="Yes",$D476&lt;=Settings!$B$2)),IF(COUNTIFS(Players!$A$2:$A$101,$B476,Players!$B$2:$B$101,"&lt;&gt;")=0,"Add a starting quota",ROUND(SUMIFS(Players!$B$2:$B$101,Players!$A$2:$A$101,$B476),Settings!$B$3)),ROUND(SUMIFS($C$2:$C$501,$B$2:$B$501,$B476,$D$2:$D$501,"&gt;="&amp;($D476-Settings!$B$2),$D$2:$D$501,"&lt;"&amp;$D476)/COUNTIFS($B$2:$B$501,$B476,$D$2:$D$501,"&gt;="&amp;($D476-Settings!$B$2),$D$2:$D$501,"&lt;"&amp;$D476),Settings!$B$3)))</f>
      </c>
      <c r="F476" s="5">
        <f>IF(ISNUMBER($E476),ROUND($C476-$E476,2),"")</f>
      </c>
      <c r="G476" s="5">
        <f>IF(ISNUMBER($F476),COUNTIFS($A$2:$A$501,$A476,$F$2:$F$501,"&gt;"&amp;$F476)+1,"")</f>
      </c>
    </row>
    <row r="477">
      <c r="A477" s="6"/>
      <c r="D477" s="5">
        <f>IF(OR($A477="",$B477="",$C477=""),"",COUNTIFS($B$2:$B$501,$B477,$C$2:$C$501,"&lt;&gt;",$A$2:$A$501,"&lt;"&amp;$A477)+COUNTIFS($B$1:$B476,$B477,$C$1:$C476,"&lt;&gt;",$A$1:$A476,$A477)+1)</f>
      </c>
      <c r="E477" s="5">
        <f>IF($D477="","",IF(OR($D477=1,AND(Settings!$B$4="Yes",$D477&lt;=Settings!$B$2)),IF(COUNTIFS(Players!$A$2:$A$101,$B477,Players!$B$2:$B$101,"&lt;&gt;")=0,"Add a starting quota",ROUND(SUMIFS(Players!$B$2:$B$101,Players!$A$2:$A$101,$B477),Settings!$B$3)),ROUND(SUMIFS($C$2:$C$501,$B$2:$B$501,$B477,$D$2:$D$501,"&gt;="&amp;($D477-Settings!$B$2),$D$2:$D$501,"&lt;"&amp;$D477)/COUNTIFS($B$2:$B$501,$B477,$D$2:$D$501,"&gt;="&amp;($D477-Settings!$B$2),$D$2:$D$501,"&lt;"&amp;$D477),Settings!$B$3)))</f>
      </c>
      <c r="F477" s="5">
        <f>IF(ISNUMBER($E477),ROUND($C477-$E477,2),"")</f>
      </c>
      <c r="G477" s="5">
        <f>IF(ISNUMBER($F477),COUNTIFS($A$2:$A$501,$A477,$F$2:$F$501,"&gt;"&amp;$F477)+1,"")</f>
      </c>
    </row>
    <row r="478">
      <c r="A478" s="6"/>
      <c r="D478" s="5">
        <f>IF(OR($A478="",$B478="",$C478=""),"",COUNTIFS($B$2:$B$501,$B478,$C$2:$C$501,"&lt;&gt;",$A$2:$A$501,"&lt;"&amp;$A478)+COUNTIFS($B$1:$B477,$B478,$C$1:$C477,"&lt;&gt;",$A$1:$A477,$A478)+1)</f>
      </c>
      <c r="E478" s="5">
        <f>IF($D478="","",IF(OR($D478=1,AND(Settings!$B$4="Yes",$D478&lt;=Settings!$B$2)),IF(COUNTIFS(Players!$A$2:$A$101,$B478,Players!$B$2:$B$101,"&lt;&gt;")=0,"Add a starting quota",ROUND(SUMIFS(Players!$B$2:$B$101,Players!$A$2:$A$101,$B478),Settings!$B$3)),ROUND(SUMIFS($C$2:$C$501,$B$2:$B$501,$B478,$D$2:$D$501,"&gt;="&amp;($D478-Settings!$B$2),$D$2:$D$501,"&lt;"&amp;$D478)/COUNTIFS($B$2:$B$501,$B478,$D$2:$D$501,"&gt;="&amp;($D478-Settings!$B$2),$D$2:$D$501,"&lt;"&amp;$D478),Settings!$B$3)))</f>
      </c>
      <c r="F478" s="5">
        <f>IF(ISNUMBER($E478),ROUND($C478-$E478,2),"")</f>
      </c>
      <c r="G478" s="5">
        <f>IF(ISNUMBER($F478),COUNTIFS($A$2:$A$501,$A478,$F$2:$F$501,"&gt;"&amp;$F478)+1,"")</f>
      </c>
    </row>
    <row r="479">
      <c r="A479" s="6"/>
      <c r="D479" s="5">
        <f>IF(OR($A479="",$B479="",$C479=""),"",COUNTIFS($B$2:$B$501,$B479,$C$2:$C$501,"&lt;&gt;",$A$2:$A$501,"&lt;"&amp;$A479)+COUNTIFS($B$1:$B478,$B479,$C$1:$C478,"&lt;&gt;",$A$1:$A478,$A479)+1)</f>
      </c>
      <c r="E479" s="5">
        <f>IF($D479="","",IF(OR($D479=1,AND(Settings!$B$4="Yes",$D479&lt;=Settings!$B$2)),IF(COUNTIFS(Players!$A$2:$A$101,$B479,Players!$B$2:$B$101,"&lt;&gt;")=0,"Add a starting quota",ROUND(SUMIFS(Players!$B$2:$B$101,Players!$A$2:$A$101,$B479),Settings!$B$3)),ROUND(SUMIFS($C$2:$C$501,$B$2:$B$501,$B479,$D$2:$D$501,"&gt;="&amp;($D479-Settings!$B$2),$D$2:$D$501,"&lt;"&amp;$D479)/COUNTIFS($B$2:$B$501,$B479,$D$2:$D$501,"&gt;="&amp;($D479-Settings!$B$2),$D$2:$D$501,"&lt;"&amp;$D479),Settings!$B$3)))</f>
      </c>
      <c r="F479" s="5">
        <f>IF(ISNUMBER($E479),ROUND($C479-$E479,2),"")</f>
      </c>
      <c r="G479" s="5">
        <f>IF(ISNUMBER($F479),COUNTIFS($A$2:$A$501,$A479,$F$2:$F$501,"&gt;"&amp;$F479)+1,"")</f>
      </c>
    </row>
    <row r="480">
      <c r="A480" s="6"/>
      <c r="D480" s="5">
        <f>IF(OR($A480="",$B480="",$C480=""),"",COUNTIFS($B$2:$B$501,$B480,$C$2:$C$501,"&lt;&gt;",$A$2:$A$501,"&lt;"&amp;$A480)+COUNTIFS($B$1:$B479,$B480,$C$1:$C479,"&lt;&gt;",$A$1:$A479,$A480)+1)</f>
      </c>
      <c r="E480" s="5">
        <f>IF($D480="","",IF(OR($D480=1,AND(Settings!$B$4="Yes",$D480&lt;=Settings!$B$2)),IF(COUNTIFS(Players!$A$2:$A$101,$B480,Players!$B$2:$B$101,"&lt;&gt;")=0,"Add a starting quota",ROUND(SUMIFS(Players!$B$2:$B$101,Players!$A$2:$A$101,$B480),Settings!$B$3)),ROUND(SUMIFS($C$2:$C$501,$B$2:$B$501,$B480,$D$2:$D$501,"&gt;="&amp;($D480-Settings!$B$2),$D$2:$D$501,"&lt;"&amp;$D480)/COUNTIFS($B$2:$B$501,$B480,$D$2:$D$501,"&gt;="&amp;($D480-Settings!$B$2),$D$2:$D$501,"&lt;"&amp;$D480),Settings!$B$3)))</f>
      </c>
      <c r="F480" s="5">
        <f>IF(ISNUMBER($E480),ROUND($C480-$E480,2),"")</f>
      </c>
      <c r="G480" s="5">
        <f>IF(ISNUMBER($F480),COUNTIFS($A$2:$A$501,$A480,$F$2:$F$501,"&gt;"&amp;$F480)+1,"")</f>
      </c>
    </row>
    <row r="481">
      <c r="A481" s="6"/>
      <c r="D481" s="5">
        <f>IF(OR($A481="",$B481="",$C481=""),"",COUNTIFS($B$2:$B$501,$B481,$C$2:$C$501,"&lt;&gt;",$A$2:$A$501,"&lt;"&amp;$A481)+COUNTIFS($B$1:$B480,$B481,$C$1:$C480,"&lt;&gt;",$A$1:$A480,$A481)+1)</f>
      </c>
      <c r="E481" s="5">
        <f>IF($D481="","",IF(OR($D481=1,AND(Settings!$B$4="Yes",$D481&lt;=Settings!$B$2)),IF(COUNTIFS(Players!$A$2:$A$101,$B481,Players!$B$2:$B$101,"&lt;&gt;")=0,"Add a starting quota",ROUND(SUMIFS(Players!$B$2:$B$101,Players!$A$2:$A$101,$B481),Settings!$B$3)),ROUND(SUMIFS($C$2:$C$501,$B$2:$B$501,$B481,$D$2:$D$501,"&gt;="&amp;($D481-Settings!$B$2),$D$2:$D$501,"&lt;"&amp;$D481)/COUNTIFS($B$2:$B$501,$B481,$D$2:$D$501,"&gt;="&amp;($D481-Settings!$B$2),$D$2:$D$501,"&lt;"&amp;$D481),Settings!$B$3)))</f>
      </c>
      <c r="F481" s="5">
        <f>IF(ISNUMBER($E481),ROUND($C481-$E481,2),"")</f>
      </c>
      <c r="G481" s="5">
        <f>IF(ISNUMBER($F481),COUNTIFS($A$2:$A$501,$A481,$F$2:$F$501,"&gt;"&amp;$F481)+1,"")</f>
      </c>
    </row>
    <row r="482">
      <c r="A482" s="6"/>
      <c r="D482" s="5">
        <f>IF(OR($A482="",$B482="",$C482=""),"",COUNTIFS($B$2:$B$501,$B482,$C$2:$C$501,"&lt;&gt;",$A$2:$A$501,"&lt;"&amp;$A482)+COUNTIFS($B$1:$B481,$B482,$C$1:$C481,"&lt;&gt;",$A$1:$A481,$A482)+1)</f>
      </c>
      <c r="E482" s="5">
        <f>IF($D482="","",IF(OR($D482=1,AND(Settings!$B$4="Yes",$D482&lt;=Settings!$B$2)),IF(COUNTIFS(Players!$A$2:$A$101,$B482,Players!$B$2:$B$101,"&lt;&gt;")=0,"Add a starting quota",ROUND(SUMIFS(Players!$B$2:$B$101,Players!$A$2:$A$101,$B482),Settings!$B$3)),ROUND(SUMIFS($C$2:$C$501,$B$2:$B$501,$B482,$D$2:$D$501,"&gt;="&amp;($D482-Settings!$B$2),$D$2:$D$501,"&lt;"&amp;$D482)/COUNTIFS($B$2:$B$501,$B482,$D$2:$D$501,"&gt;="&amp;($D482-Settings!$B$2),$D$2:$D$501,"&lt;"&amp;$D482),Settings!$B$3)))</f>
      </c>
      <c r="F482" s="5">
        <f>IF(ISNUMBER($E482),ROUND($C482-$E482,2),"")</f>
      </c>
      <c r="G482" s="5">
        <f>IF(ISNUMBER($F482),COUNTIFS($A$2:$A$501,$A482,$F$2:$F$501,"&gt;"&amp;$F482)+1,"")</f>
      </c>
    </row>
    <row r="483">
      <c r="A483" s="6"/>
      <c r="D483" s="5">
        <f>IF(OR($A483="",$B483="",$C483=""),"",COUNTIFS($B$2:$B$501,$B483,$C$2:$C$501,"&lt;&gt;",$A$2:$A$501,"&lt;"&amp;$A483)+COUNTIFS($B$1:$B482,$B483,$C$1:$C482,"&lt;&gt;",$A$1:$A482,$A483)+1)</f>
      </c>
      <c r="E483" s="5">
        <f>IF($D483="","",IF(OR($D483=1,AND(Settings!$B$4="Yes",$D483&lt;=Settings!$B$2)),IF(COUNTIFS(Players!$A$2:$A$101,$B483,Players!$B$2:$B$101,"&lt;&gt;")=0,"Add a starting quota",ROUND(SUMIFS(Players!$B$2:$B$101,Players!$A$2:$A$101,$B483),Settings!$B$3)),ROUND(SUMIFS($C$2:$C$501,$B$2:$B$501,$B483,$D$2:$D$501,"&gt;="&amp;($D483-Settings!$B$2),$D$2:$D$501,"&lt;"&amp;$D483)/COUNTIFS($B$2:$B$501,$B483,$D$2:$D$501,"&gt;="&amp;($D483-Settings!$B$2),$D$2:$D$501,"&lt;"&amp;$D483),Settings!$B$3)))</f>
      </c>
      <c r="F483" s="5">
        <f>IF(ISNUMBER($E483),ROUND($C483-$E483,2),"")</f>
      </c>
      <c r="G483" s="5">
        <f>IF(ISNUMBER($F483),COUNTIFS($A$2:$A$501,$A483,$F$2:$F$501,"&gt;"&amp;$F483)+1,"")</f>
      </c>
    </row>
    <row r="484">
      <c r="A484" s="6"/>
      <c r="D484" s="5">
        <f>IF(OR($A484="",$B484="",$C484=""),"",COUNTIFS($B$2:$B$501,$B484,$C$2:$C$501,"&lt;&gt;",$A$2:$A$501,"&lt;"&amp;$A484)+COUNTIFS($B$1:$B483,$B484,$C$1:$C483,"&lt;&gt;",$A$1:$A483,$A484)+1)</f>
      </c>
      <c r="E484" s="5">
        <f>IF($D484="","",IF(OR($D484=1,AND(Settings!$B$4="Yes",$D484&lt;=Settings!$B$2)),IF(COUNTIFS(Players!$A$2:$A$101,$B484,Players!$B$2:$B$101,"&lt;&gt;")=0,"Add a starting quota",ROUND(SUMIFS(Players!$B$2:$B$101,Players!$A$2:$A$101,$B484),Settings!$B$3)),ROUND(SUMIFS($C$2:$C$501,$B$2:$B$501,$B484,$D$2:$D$501,"&gt;="&amp;($D484-Settings!$B$2),$D$2:$D$501,"&lt;"&amp;$D484)/COUNTIFS($B$2:$B$501,$B484,$D$2:$D$501,"&gt;="&amp;($D484-Settings!$B$2),$D$2:$D$501,"&lt;"&amp;$D484),Settings!$B$3)))</f>
      </c>
      <c r="F484" s="5">
        <f>IF(ISNUMBER($E484),ROUND($C484-$E484,2),"")</f>
      </c>
      <c r="G484" s="5">
        <f>IF(ISNUMBER($F484),COUNTIFS($A$2:$A$501,$A484,$F$2:$F$501,"&gt;"&amp;$F484)+1,"")</f>
      </c>
    </row>
    <row r="485">
      <c r="A485" s="6"/>
      <c r="D485" s="5">
        <f>IF(OR($A485="",$B485="",$C485=""),"",COUNTIFS($B$2:$B$501,$B485,$C$2:$C$501,"&lt;&gt;",$A$2:$A$501,"&lt;"&amp;$A485)+COUNTIFS($B$1:$B484,$B485,$C$1:$C484,"&lt;&gt;",$A$1:$A484,$A485)+1)</f>
      </c>
      <c r="E485" s="5">
        <f>IF($D485="","",IF(OR($D485=1,AND(Settings!$B$4="Yes",$D485&lt;=Settings!$B$2)),IF(COUNTIFS(Players!$A$2:$A$101,$B485,Players!$B$2:$B$101,"&lt;&gt;")=0,"Add a starting quota",ROUND(SUMIFS(Players!$B$2:$B$101,Players!$A$2:$A$101,$B485),Settings!$B$3)),ROUND(SUMIFS($C$2:$C$501,$B$2:$B$501,$B485,$D$2:$D$501,"&gt;="&amp;($D485-Settings!$B$2),$D$2:$D$501,"&lt;"&amp;$D485)/COUNTIFS($B$2:$B$501,$B485,$D$2:$D$501,"&gt;="&amp;($D485-Settings!$B$2),$D$2:$D$501,"&lt;"&amp;$D485),Settings!$B$3)))</f>
      </c>
      <c r="F485" s="5">
        <f>IF(ISNUMBER($E485),ROUND($C485-$E485,2),"")</f>
      </c>
      <c r="G485" s="5">
        <f>IF(ISNUMBER($F485),COUNTIFS($A$2:$A$501,$A485,$F$2:$F$501,"&gt;"&amp;$F485)+1,"")</f>
      </c>
    </row>
    <row r="486">
      <c r="A486" s="6"/>
      <c r="D486" s="5">
        <f>IF(OR($A486="",$B486="",$C486=""),"",COUNTIFS($B$2:$B$501,$B486,$C$2:$C$501,"&lt;&gt;",$A$2:$A$501,"&lt;"&amp;$A486)+COUNTIFS($B$1:$B485,$B486,$C$1:$C485,"&lt;&gt;",$A$1:$A485,$A486)+1)</f>
      </c>
      <c r="E486" s="5">
        <f>IF($D486="","",IF(OR($D486=1,AND(Settings!$B$4="Yes",$D486&lt;=Settings!$B$2)),IF(COUNTIFS(Players!$A$2:$A$101,$B486,Players!$B$2:$B$101,"&lt;&gt;")=0,"Add a starting quota",ROUND(SUMIFS(Players!$B$2:$B$101,Players!$A$2:$A$101,$B486),Settings!$B$3)),ROUND(SUMIFS($C$2:$C$501,$B$2:$B$501,$B486,$D$2:$D$501,"&gt;="&amp;($D486-Settings!$B$2),$D$2:$D$501,"&lt;"&amp;$D486)/COUNTIFS($B$2:$B$501,$B486,$D$2:$D$501,"&gt;="&amp;($D486-Settings!$B$2),$D$2:$D$501,"&lt;"&amp;$D486),Settings!$B$3)))</f>
      </c>
      <c r="F486" s="5">
        <f>IF(ISNUMBER($E486),ROUND($C486-$E486,2),"")</f>
      </c>
      <c r="G486" s="5">
        <f>IF(ISNUMBER($F486),COUNTIFS($A$2:$A$501,$A486,$F$2:$F$501,"&gt;"&amp;$F486)+1,"")</f>
      </c>
    </row>
    <row r="487">
      <c r="A487" s="6"/>
      <c r="D487" s="5">
        <f>IF(OR($A487="",$B487="",$C487=""),"",COUNTIFS($B$2:$B$501,$B487,$C$2:$C$501,"&lt;&gt;",$A$2:$A$501,"&lt;"&amp;$A487)+COUNTIFS($B$1:$B486,$B487,$C$1:$C486,"&lt;&gt;",$A$1:$A486,$A487)+1)</f>
      </c>
      <c r="E487" s="5">
        <f>IF($D487="","",IF(OR($D487=1,AND(Settings!$B$4="Yes",$D487&lt;=Settings!$B$2)),IF(COUNTIFS(Players!$A$2:$A$101,$B487,Players!$B$2:$B$101,"&lt;&gt;")=0,"Add a starting quota",ROUND(SUMIFS(Players!$B$2:$B$101,Players!$A$2:$A$101,$B487),Settings!$B$3)),ROUND(SUMIFS($C$2:$C$501,$B$2:$B$501,$B487,$D$2:$D$501,"&gt;="&amp;($D487-Settings!$B$2),$D$2:$D$501,"&lt;"&amp;$D487)/COUNTIFS($B$2:$B$501,$B487,$D$2:$D$501,"&gt;="&amp;($D487-Settings!$B$2),$D$2:$D$501,"&lt;"&amp;$D487),Settings!$B$3)))</f>
      </c>
      <c r="F487" s="5">
        <f>IF(ISNUMBER($E487),ROUND($C487-$E487,2),"")</f>
      </c>
      <c r="G487" s="5">
        <f>IF(ISNUMBER($F487),COUNTIFS($A$2:$A$501,$A487,$F$2:$F$501,"&gt;"&amp;$F487)+1,"")</f>
      </c>
    </row>
    <row r="488">
      <c r="A488" s="6"/>
      <c r="D488" s="5">
        <f>IF(OR($A488="",$B488="",$C488=""),"",COUNTIFS($B$2:$B$501,$B488,$C$2:$C$501,"&lt;&gt;",$A$2:$A$501,"&lt;"&amp;$A488)+COUNTIFS($B$1:$B487,$B488,$C$1:$C487,"&lt;&gt;",$A$1:$A487,$A488)+1)</f>
      </c>
      <c r="E488" s="5">
        <f>IF($D488="","",IF(OR($D488=1,AND(Settings!$B$4="Yes",$D488&lt;=Settings!$B$2)),IF(COUNTIFS(Players!$A$2:$A$101,$B488,Players!$B$2:$B$101,"&lt;&gt;")=0,"Add a starting quota",ROUND(SUMIFS(Players!$B$2:$B$101,Players!$A$2:$A$101,$B488),Settings!$B$3)),ROUND(SUMIFS($C$2:$C$501,$B$2:$B$501,$B488,$D$2:$D$501,"&gt;="&amp;($D488-Settings!$B$2),$D$2:$D$501,"&lt;"&amp;$D488)/COUNTIFS($B$2:$B$501,$B488,$D$2:$D$501,"&gt;="&amp;($D488-Settings!$B$2),$D$2:$D$501,"&lt;"&amp;$D488),Settings!$B$3)))</f>
      </c>
      <c r="F488" s="5">
        <f>IF(ISNUMBER($E488),ROUND($C488-$E488,2),"")</f>
      </c>
      <c r="G488" s="5">
        <f>IF(ISNUMBER($F488),COUNTIFS($A$2:$A$501,$A488,$F$2:$F$501,"&gt;"&amp;$F488)+1,"")</f>
      </c>
    </row>
    <row r="489">
      <c r="A489" s="6"/>
      <c r="D489" s="5">
        <f>IF(OR($A489="",$B489="",$C489=""),"",COUNTIFS($B$2:$B$501,$B489,$C$2:$C$501,"&lt;&gt;",$A$2:$A$501,"&lt;"&amp;$A489)+COUNTIFS($B$1:$B488,$B489,$C$1:$C488,"&lt;&gt;",$A$1:$A488,$A489)+1)</f>
      </c>
      <c r="E489" s="5">
        <f>IF($D489="","",IF(OR($D489=1,AND(Settings!$B$4="Yes",$D489&lt;=Settings!$B$2)),IF(COUNTIFS(Players!$A$2:$A$101,$B489,Players!$B$2:$B$101,"&lt;&gt;")=0,"Add a starting quota",ROUND(SUMIFS(Players!$B$2:$B$101,Players!$A$2:$A$101,$B489),Settings!$B$3)),ROUND(SUMIFS($C$2:$C$501,$B$2:$B$501,$B489,$D$2:$D$501,"&gt;="&amp;($D489-Settings!$B$2),$D$2:$D$501,"&lt;"&amp;$D489)/COUNTIFS($B$2:$B$501,$B489,$D$2:$D$501,"&gt;="&amp;($D489-Settings!$B$2),$D$2:$D$501,"&lt;"&amp;$D489),Settings!$B$3)))</f>
      </c>
      <c r="F489" s="5">
        <f>IF(ISNUMBER($E489),ROUND($C489-$E489,2),"")</f>
      </c>
      <c r="G489" s="5">
        <f>IF(ISNUMBER($F489),COUNTIFS($A$2:$A$501,$A489,$F$2:$F$501,"&gt;"&amp;$F489)+1,"")</f>
      </c>
    </row>
    <row r="490">
      <c r="A490" s="6"/>
      <c r="D490" s="5">
        <f>IF(OR($A490="",$B490="",$C490=""),"",COUNTIFS($B$2:$B$501,$B490,$C$2:$C$501,"&lt;&gt;",$A$2:$A$501,"&lt;"&amp;$A490)+COUNTIFS($B$1:$B489,$B490,$C$1:$C489,"&lt;&gt;",$A$1:$A489,$A490)+1)</f>
      </c>
      <c r="E490" s="5">
        <f>IF($D490="","",IF(OR($D490=1,AND(Settings!$B$4="Yes",$D490&lt;=Settings!$B$2)),IF(COUNTIFS(Players!$A$2:$A$101,$B490,Players!$B$2:$B$101,"&lt;&gt;")=0,"Add a starting quota",ROUND(SUMIFS(Players!$B$2:$B$101,Players!$A$2:$A$101,$B490),Settings!$B$3)),ROUND(SUMIFS($C$2:$C$501,$B$2:$B$501,$B490,$D$2:$D$501,"&gt;="&amp;($D490-Settings!$B$2),$D$2:$D$501,"&lt;"&amp;$D490)/COUNTIFS($B$2:$B$501,$B490,$D$2:$D$501,"&gt;="&amp;($D490-Settings!$B$2),$D$2:$D$501,"&lt;"&amp;$D490),Settings!$B$3)))</f>
      </c>
      <c r="F490" s="5">
        <f>IF(ISNUMBER($E490),ROUND($C490-$E490,2),"")</f>
      </c>
      <c r="G490" s="5">
        <f>IF(ISNUMBER($F490),COUNTIFS($A$2:$A$501,$A490,$F$2:$F$501,"&gt;"&amp;$F490)+1,"")</f>
      </c>
    </row>
    <row r="491">
      <c r="A491" s="6"/>
      <c r="D491" s="5">
        <f>IF(OR($A491="",$B491="",$C491=""),"",COUNTIFS($B$2:$B$501,$B491,$C$2:$C$501,"&lt;&gt;",$A$2:$A$501,"&lt;"&amp;$A491)+COUNTIFS($B$1:$B490,$B491,$C$1:$C490,"&lt;&gt;",$A$1:$A490,$A491)+1)</f>
      </c>
      <c r="E491" s="5">
        <f>IF($D491="","",IF(OR($D491=1,AND(Settings!$B$4="Yes",$D491&lt;=Settings!$B$2)),IF(COUNTIFS(Players!$A$2:$A$101,$B491,Players!$B$2:$B$101,"&lt;&gt;")=0,"Add a starting quota",ROUND(SUMIFS(Players!$B$2:$B$101,Players!$A$2:$A$101,$B491),Settings!$B$3)),ROUND(SUMIFS($C$2:$C$501,$B$2:$B$501,$B491,$D$2:$D$501,"&gt;="&amp;($D491-Settings!$B$2),$D$2:$D$501,"&lt;"&amp;$D491)/COUNTIFS($B$2:$B$501,$B491,$D$2:$D$501,"&gt;="&amp;($D491-Settings!$B$2),$D$2:$D$501,"&lt;"&amp;$D491),Settings!$B$3)))</f>
      </c>
      <c r="F491" s="5">
        <f>IF(ISNUMBER($E491),ROUND($C491-$E491,2),"")</f>
      </c>
      <c r="G491" s="5">
        <f>IF(ISNUMBER($F491),COUNTIFS($A$2:$A$501,$A491,$F$2:$F$501,"&gt;"&amp;$F491)+1,"")</f>
      </c>
    </row>
    <row r="492">
      <c r="A492" s="6"/>
      <c r="D492" s="5">
        <f>IF(OR($A492="",$B492="",$C492=""),"",COUNTIFS($B$2:$B$501,$B492,$C$2:$C$501,"&lt;&gt;",$A$2:$A$501,"&lt;"&amp;$A492)+COUNTIFS($B$1:$B491,$B492,$C$1:$C491,"&lt;&gt;",$A$1:$A491,$A492)+1)</f>
      </c>
      <c r="E492" s="5">
        <f>IF($D492="","",IF(OR($D492=1,AND(Settings!$B$4="Yes",$D492&lt;=Settings!$B$2)),IF(COUNTIFS(Players!$A$2:$A$101,$B492,Players!$B$2:$B$101,"&lt;&gt;")=0,"Add a starting quota",ROUND(SUMIFS(Players!$B$2:$B$101,Players!$A$2:$A$101,$B492),Settings!$B$3)),ROUND(SUMIFS($C$2:$C$501,$B$2:$B$501,$B492,$D$2:$D$501,"&gt;="&amp;($D492-Settings!$B$2),$D$2:$D$501,"&lt;"&amp;$D492)/COUNTIFS($B$2:$B$501,$B492,$D$2:$D$501,"&gt;="&amp;($D492-Settings!$B$2),$D$2:$D$501,"&lt;"&amp;$D492),Settings!$B$3)))</f>
      </c>
      <c r="F492" s="5">
        <f>IF(ISNUMBER($E492),ROUND($C492-$E492,2),"")</f>
      </c>
      <c r="G492" s="5">
        <f>IF(ISNUMBER($F492),COUNTIFS($A$2:$A$501,$A492,$F$2:$F$501,"&gt;"&amp;$F492)+1,"")</f>
      </c>
    </row>
    <row r="493">
      <c r="A493" s="6"/>
      <c r="D493" s="5">
        <f>IF(OR($A493="",$B493="",$C493=""),"",COUNTIFS($B$2:$B$501,$B493,$C$2:$C$501,"&lt;&gt;",$A$2:$A$501,"&lt;"&amp;$A493)+COUNTIFS($B$1:$B492,$B493,$C$1:$C492,"&lt;&gt;",$A$1:$A492,$A493)+1)</f>
      </c>
      <c r="E493" s="5">
        <f>IF($D493="","",IF(OR($D493=1,AND(Settings!$B$4="Yes",$D493&lt;=Settings!$B$2)),IF(COUNTIFS(Players!$A$2:$A$101,$B493,Players!$B$2:$B$101,"&lt;&gt;")=0,"Add a starting quota",ROUND(SUMIFS(Players!$B$2:$B$101,Players!$A$2:$A$101,$B493),Settings!$B$3)),ROUND(SUMIFS($C$2:$C$501,$B$2:$B$501,$B493,$D$2:$D$501,"&gt;="&amp;($D493-Settings!$B$2),$D$2:$D$501,"&lt;"&amp;$D493)/COUNTIFS($B$2:$B$501,$B493,$D$2:$D$501,"&gt;="&amp;($D493-Settings!$B$2),$D$2:$D$501,"&lt;"&amp;$D493),Settings!$B$3)))</f>
      </c>
      <c r="F493" s="5">
        <f>IF(ISNUMBER($E493),ROUND($C493-$E493,2),"")</f>
      </c>
      <c r="G493" s="5">
        <f>IF(ISNUMBER($F493),COUNTIFS($A$2:$A$501,$A493,$F$2:$F$501,"&gt;"&amp;$F493)+1,"")</f>
      </c>
    </row>
    <row r="494">
      <c r="A494" s="6"/>
      <c r="D494" s="5">
        <f>IF(OR($A494="",$B494="",$C494=""),"",COUNTIFS($B$2:$B$501,$B494,$C$2:$C$501,"&lt;&gt;",$A$2:$A$501,"&lt;"&amp;$A494)+COUNTIFS($B$1:$B493,$B494,$C$1:$C493,"&lt;&gt;",$A$1:$A493,$A494)+1)</f>
      </c>
      <c r="E494" s="5">
        <f>IF($D494="","",IF(OR($D494=1,AND(Settings!$B$4="Yes",$D494&lt;=Settings!$B$2)),IF(COUNTIFS(Players!$A$2:$A$101,$B494,Players!$B$2:$B$101,"&lt;&gt;")=0,"Add a starting quota",ROUND(SUMIFS(Players!$B$2:$B$101,Players!$A$2:$A$101,$B494),Settings!$B$3)),ROUND(SUMIFS($C$2:$C$501,$B$2:$B$501,$B494,$D$2:$D$501,"&gt;="&amp;($D494-Settings!$B$2),$D$2:$D$501,"&lt;"&amp;$D494)/COUNTIFS($B$2:$B$501,$B494,$D$2:$D$501,"&gt;="&amp;($D494-Settings!$B$2),$D$2:$D$501,"&lt;"&amp;$D494),Settings!$B$3)))</f>
      </c>
      <c r="F494" s="5">
        <f>IF(ISNUMBER($E494),ROUND($C494-$E494,2),"")</f>
      </c>
      <c r="G494" s="5">
        <f>IF(ISNUMBER($F494),COUNTIFS($A$2:$A$501,$A494,$F$2:$F$501,"&gt;"&amp;$F494)+1,"")</f>
      </c>
    </row>
    <row r="495">
      <c r="A495" s="6"/>
      <c r="D495" s="5">
        <f>IF(OR($A495="",$B495="",$C495=""),"",COUNTIFS($B$2:$B$501,$B495,$C$2:$C$501,"&lt;&gt;",$A$2:$A$501,"&lt;"&amp;$A495)+COUNTIFS($B$1:$B494,$B495,$C$1:$C494,"&lt;&gt;",$A$1:$A494,$A495)+1)</f>
      </c>
      <c r="E495" s="5">
        <f>IF($D495="","",IF(OR($D495=1,AND(Settings!$B$4="Yes",$D495&lt;=Settings!$B$2)),IF(COUNTIFS(Players!$A$2:$A$101,$B495,Players!$B$2:$B$101,"&lt;&gt;")=0,"Add a starting quota",ROUND(SUMIFS(Players!$B$2:$B$101,Players!$A$2:$A$101,$B495),Settings!$B$3)),ROUND(SUMIFS($C$2:$C$501,$B$2:$B$501,$B495,$D$2:$D$501,"&gt;="&amp;($D495-Settings!$B$2),$D$2:$D$501,"&lt;"&amp;$D495)/COUNTIFS($B$2:$B$501,$B495,$D$2:$D$501,"&gt;="&amp;($D495-Settings!$B$2),$D$2:$D$501,"&lt;"&amp;$D495),Settings!$B$3)))</f>
      </c>
      <c r="F495" s="5">
        <f>IF(ISNUMBER($E495),ROUND($C495-$E495,2),"")</f>
      </c>
      <c r="G495" s="5">
        <f>IF(ISNUMBER($F495),COUNTIFS($A$2:$A$501,$A495,$F$2:$F$501,"&gt;"&amp;$F495)+1,"")</f>
      </c>
    </row>
    <row r="496">
      <c r="A496" s="6"/>
      <c r="D496" s="5">
        <f>IF(OR($A496="",$B496="",$C496=""),"",COUNTIFS($B$2:$B$501,$B496,$C$2:$C$501,"&lt;&gt;",$A$2:$A$501,"&lt;"&amp;$A496)+COUNTIFS($B$1:$B495,$B496,$C$1:$C495,"&lt;&gt;",$A$1:$A495,$A496)+1)</f>
      </c>
      <c r="E496" s="5">
        <f>IF($D496="","",IF(OR($D496=1,AND(Settings!$B$4="Yes",$D496&lt;=Settings!$B$2)),IF(COUNTIFS(Players!$A$2:$A$101,$B496,Players!$B$2:$B$101,"&lt;&gt;")=0,"Add a starting quota",ROUND(SUMIFS(Players!$B$2:$B$101,Players!$A$2:$A$101,$B496),Settings!$B$3)),ROUND(SUMIFS($C$2:$C$501,$B$2:$B$501,$B496,$D$2:$D$501,"&gt;="&amp;($D496-Settings!$B$2),$D$2:$D$501,"&lt;"&amp;$D496)/COUNTIFS($B$2:$B$501,$B496,$D$2:$D$501,"&gt;="&amp;($D496-Settings!$B$2),$D$2:$D$501,"&lt;"&amp;$D496),Settings!$B$3)))</f>
      </c>
      <c r="F496" s="5">
        <f>IF(ISNUMBER($E496),ROUND($C496-$E496,2),"")</f>
      </c>
      <c r="G496" s="5">
        <f>IF(ISNUMBER($F496),COUNTIFS($A$2:$A$501,$A496,$F$2:$F$501,"&gt;"&amp;$F496)+1,"")</f>
      </c>
    </row>
    <row r="497">
      <c r="A497" s="6"/>
      <c r="D497" s="5">
        <f>IF(OR($A497="",$B497="",$C497=""),"",COUNTIFS($B$2:$B$501,$B497,$C$2:$C$501,"&lt;&gt;",$A$2:$A$501,"&lt;"&amp;$A497)+COUNTIFS($B$1:$B496,$B497,$C$1:$C496,"&lt;&gt;",$A$1:$A496,$A497)+1)</f>
      </c>
      <c r="E497" s="5">
        <f>IF($D497="","",IF(OR($D497=1,AND(Settings!$B$4="Yes",$D497&lt;=Settings!$B$2)),IF(COUNTIFS(Players!$A$2:$A$101,$B497,Players!$B$2:$B$101,"&lt;&gt;")=0,"Add a starting quota",ROUND(SUMIFS(Players!$B$2:$B$101,Players!$A$2:$A$101,$B497),Settings!$B$3)),ROUND(SUMIFS($C$2:$C$501,$B$2:$B$501,$B497,$D$2:$D$501,"&gt;="&amp;($D497-Settings!$B$2),$D$2:$D$501,"&lt;"&amp;$D497)/COUNTIFS($B$2:$B$501,$B497,$D$2:$D$501,"&gt;="&amp;($D497-Settings!$B$2),$D$2:$D$501,"&lt;"&amp;$D497),Settings!$B$3)))</f>
      </c>
      <c r="F497" s="5">
        <f>IF(ISNUMBER($E497),ROUND($C497-$E497,2),"")</f>
      </c>
      <c r="G497" s="5">
        <f>IF(ISNUMBER($F497),COUNTIFS($A$2:$A$501,$A497,$F$2:$F$501,"&gt;"&amp;$F497)+1,"")</f>
      </c>
    </row>
    <row r="498">
      <c r="A498" s="6"/>
      <c r="D498" s="5">
        <f>IF(OR($A498="",$B498="",$C498=""),"",COUNTIFS($B$2:$B$501,$B498,$C$2:$C$501,"&lt;&gt;",$A$2:$A$501,"&lt;"&amp;$A498)+COUNTIFS($B$1:$B497,$B498,$C$1:$C497,"&lt;&gt;",$A$1:$A497,$A498)+1)</f>
      </c>
      <c r="E498" s="5">
        <f>IF($D498="","",IF(OR($D498=1,AND(Settings!$B$4="Yes",$D498&lt;=Settings!$B$2)),IF(COUNTIFS(Players!$A$2:$A$101,$B498,Players!$B$2:$B$101,"&lt;&gt;")=0,"Add a starting quota",ROUND(SUMIFS(Players!$B$2:$B$101,Players!$A$2:$A$101,$B498),Settings!$B$3)),ROUND(SUMIFS($C$2:$C$501,$B$2:$B$501,$B498,$D$2:$D$501,"&gt;="&amp;($D498-Settings!$B$2),$D$2:$D$501,"&lt;"&amp;$D498)/COUNTIFS($B$2:$B$501,$B498,$D$2:$D$501,"&gt;="&amp;($D498-Settings!$B$2),$D$2:$D$501,"&lt;"&amp;$D498),Settings!$B$3)))</f>
      </c>
      <c r="F498" s="5">
        <f>IF(ISNUMBER($E498),ROUND($C498-$E498,2),"")</f>
      </c>
      <c r="G498" s="5">
        <f>IF(ISNUMBER($F498),COUNTIFS($A$2:$A$501,$A498,$F$2:$F$501,"&gt;"&amp;$F498)+1,"")</f>
      </c>
    </row>
    <row r="499">
      <c r="A499" s="6"/>
      <c r="D499" s="5">
        <f>IF(OR($A499="",$B499="",$C499=""),"",COUNTIFS($B$2:$B$501,$B499,$C$2:$C$501,"&lt;&gt;",$A$2:$A$501,"&lt;"&amp;$A499)+COUNTIFS($B$1:$B498,$B499,$C$1:$C498,"&lt;&gt;",$A$1:$A498,$A499)+1)</f>
      </c>
      <c r="E499" s="5">
        <f>IF($D499="","",IF(OR($D499=1,AND(Settings!$B$4="Yes",$D499&lt;=Settings!$B$2)),IF(COUNTIFS(Players!$A$2:$A$101,$B499,Players!$B$2:$B$101,"&lt;&gt;")=0,"Add a starting quota",ROUND(SUMIFS(Players!$B$2:$B$101,Players!$A$2:$A$101,$B499),Settings!$B$3)),ROUND(SUMIFS($C$2:$C$501,$B$2:$B$501,$B499,$D$2:$D$501,"&gt;="&amp;($D499-Settings!$B$2),$D$2:$D$501,"&lt;"&amp;$D499)/COUNTIFS($B$2:$B$501,$B499,$D$2:$D$501,"&gt;="&amp;($D499-Settings!$B$2),$D$2:$D$501,"&lt;"&amp;$D499),Settings!$B$3)))</f>
      </c>
      <c r="F499" s="5">
        <f>IF(ISNUMBER($E499),ROUND($C499-$E499,2),"")</f>
      </c>
      <c r="G499" s="5">
        <f>IF(ISNUMBER($F499),COUNTIFS($A$2:$A$501,$A499,$F$2:$F$501,"&gt;"&amp;$F499)+1,"")</f>
      </c>
    </row>
    <row r="500">
      <c r="A500" s="6"/>
      <c r="D500" s="5">
        <f>IF(OR($A500="",$B500="",$C500=""),"",COUNTIFS($B$2:$B$501,$B500,$C$2:$C$501,"&lt;&gt;",$A$2:$A$501,"&lt;"&amp;$A500)+COUNTIFS($B$1:$B499,$B500,$C$1:$C499,"&lt;&gt;",$A$1:$A499,$A500)+1)</f>
      </c>
      <c r="E500" s="5">
        <f>IF($D500="","",IF(OR($D500=1,AND(Settings!$B$4="Yes",$D500&lt;=Settings!$B$2)),IF(COUNTIFS(Players!$A$2:$A$101,$B500,Players!$B$2:$B$101,"&lt;&gt;")=0,"Add a starting quota",ROUND(SUMIFS(Players!$B$2:$B$101,Players!$A$2:$A$101,$B500),Settings!$B$3)),ROUND(SUMIFS($C$2:$C$501,$B$2:$B$501,$B500,$D$2:$D$501,"&gt;="&amp;($D500-Settings!$B$2),$D$2:$D$501,"&lt;"&amp;$D500)/COUNTIFS($B$2:$B$501,$B500,$D$2:$D$501,"&gt;="&amp;($D500-Settings!$B$2),$D$2:$D$501,"&lt;"&amp;$D500),Settings!$B$3)))</f>
      </c>
      <c r="F500" s="5">
        <f>IF(ISNUMBER($E500),ROUND($C500-$E500,2),"")</f>
      </c>
      <c r="G500" s="5">
        <f>IF(ISNUMBER($F500),COUNTIFS($A$2:$A$501,$A500,$F$2:$F$501,"&gt;"&amp;$F500)+1,"")</f>
      </c>
    </row>
    <row r="501">
      <c r="A501" s="6"/>
      <c r="D501" s="5">
        <f>IF(OR($A501="",$B501="",$C501=""),"",COUNTIFS($B$2:$B$501,$B501,$C$2:$C$501,"&lt;&gt;",$A$2:$A$501,"&lt;"&amp;$A501)+COUNTIFS($B$1:$B500,$B501,$C$1:$C500,"&lt;&gt;",$A$1:$A500,$A501)+1)</f>
      </c>
      <c r="E501" s="5">
        <f>IF($D501="","",IF(OR($D501=1,AND(Settings!$B$4="Yes",$D501&lt;=Settings!$B$2)),IF(COUNTIFS(Players!$A$2:$A$101,$B501,Players!$B$2:$B$101,"&lt;&gt;")=0,"Add a starting quota",ROUND(SUMIFS(Players!$B$2:$B$101,Players!$A$2:$A$101,$B501),Settings!$B$3)),ROUND(SUMIFS($C$2:$C$501,$B$2:$B$501,$B501,$D$2:$D$501,"&gt;="&amp;($D501-Settings!$B$2),$D$2:$D$501,"&lt;"&amp;$D501)/COUNTIFS($B$2:$B$501,$B501,$D$2:$D$501,"&gt;="&amp;($D501-Settings!$B$2),$D$2:$D$501,"&lt;"&amp;$D501),Settings!$B$3)))</f>
      </c>
      <c r="F501" s="5">
        <f>IF(ISNUMBER($E501),ROUND($C501-$E501,2),"")</f>
      </c>
      <c r="G501" s="5">
        <f>IF(ISNUMBER($F501),COUNTIFS($A$2:$A$501,$A501,$F$2:$F$501,"&gt;"&amp;$F501)+1,"")</f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8" customWidth="1"/>
    <col min="2" max="2" width="24" customWidth="1"/>
    <col min="3" max="3" width="10" customWidth="1"/>
    <col min="4" max="4" width="10" customWidth="1"/>
    <col min="5" max="5" width="8" customWidth="1"/>
    <col min="6" max="6" width="10" customWidth="1"/>
  </cols>
  <sheetData>
    <row r="1">
      <c r="A1" s="4" t="s">
        <v>25</v>
      </c>
      <c r="B1" s="4" t="s">
        <v>12</v>
      </c>
      <c r="C1" s="4" t="s">
        <v>16</v>
      </c>
      <c r="D1" s="4" t="s">
        <v>17</v>
      </c>
      <c r="E1" s="4" t="s">
        <v>18</v>
      </c>
      <c r="F1" s="4" t="s">
        <v>15</v>
      </c>
    </row>
    <row r="2">
      <c r="A2">
        <f>IF($B2="","",COUNTIF(Players!$F$2:$F$101,"&gt;"&amp;$D2)+1)</f>
      </c>
      <c r="B2">
        <f>IFERROR(INDEX(Players!$A$2:$A$101,MATCH(1,Players!$H$2:$H$101,0)),"")</f>
      </c>
      <c r="C2">
        <f>IF($B2="","",INDEX(Players!$E$2:$E$101,MATCH(1,Players!$H$2:$H$101,0)))</f>
      </c>
      <c r="D2">
        <f>IF($B2="","",INDEX(Players!$F$2:$F$101,MATCH(1,Players!$H$2:$H$101,0)))</f>
      </c>
      <c r="E2">
        <f>IF($B2="","",INDEX(Players!$G$2:$G$101,MATCH(1,Players!$H$2:$H$101,0)))</f>
      </c>
      <c r="F2">
        <f>IF($B2="","",INDEX(Players!$D$2:$D$101,MATCH(1,Players!$H$2:$H$101,0)))</f>
      </c>
    </row>
    <row r="3">
      <c r="A3">
        <f>IF($B3="","",COUNTIF(Players!$F$2:$F$101,"&gt;"&amp;$D3)+1)</f>
      </c>
      <c r="B3">
        <f>IFERROR(INDEX(Players!$A$2:$A$101,MATCH(2,Players!$H$2:$H$101,0)),"")</f>
      </c>
      <c r="C3">
        <f>IF($B3="","",INDEX(Players!$E$2:$E$101,MATCH(2,Players!$H$2:$H$101,0)))</f>
      </c>
      <c r="D3">
        <f>IF($B3="","",INDEX(Players!$F$2:$F$101,MATCH(2,Players!$H$2:$H$101,0)))</f>
      </c>
      <c r="E3">
        <f>IF($B3="","",INDEX(Players!$G$2:$G$101,MATCH(2,Players!$H$2:$H$101,0)))</f>
      </c>
      <c r="F3">
        <f>IF($B3="","",INDEX(Players!$D$2:$D$101,MATCH(2,Players!$H$2:$H$101,0)))</f>
      </c>
    </row>
    <row r="4">
      <c r="A4">
        <f>IF($B4="","",COUNTIF(Players!$F$2:$F$101,"&gt;"&amp;$D4)+1)</f>
      </c>
      <c r="B4">
        <f>IFERROR(INDEX(Players!$A$2:$A$101,MATCH(3,Players!$H$2:$H$101,0)),"")</f>
      </c>
      <c r="C4">
        <f>IF($B4="","",INDEX(Players!$E$2:$E$101,MATCH(3,Players!$H$2:$H$101,0)))</f>
      </c>
      <c r="D4">
        <f>IF($B4="","",INDEX(Players!$F$2:$F$101,MATCH(3,Players!$H$2:$H$101,0)))</f>
      </c>
      <c r="E4">
        <f>IF($B4="","",INDEX(Players!$G$2:$G$101,MATCH(3,Players!$H$2:$H$101,0)))</f>
      </c>
      <c r="F4">
        <f>IF($B4="","",INDEX(Players!$D$2:$D$101,MATCH(3,Players!$H$2:$H$101,0)))</f>
      </c>
    </row>
    <row r="5">
      <c r="A5">
        <f>IF($B5="","",COUNTIF(Players!$F$2:$F$101,"&gt;"&amp;$D5)+1)</f>
      </c>
      <c r="B5">
        <f>IFERROR(INDEX(Players!$A$2:$A$101,MATCH(4,Players!$H$2:$H$101,0)),"")</f>
      </c>
      <c r="C5">
        <f>IF($B5="","",INDEX(Players!$E$2:$E$101,MATCH(4,Players!$H$2:$H$101,0)))</f>
      </c>
      <c r="D5">
        <f>IF($B5="","",INDEX(Players!$F$2:$F$101,MATCH(4,Players!$H$2:$H$101,0)))</f>
      </c>
      <c r="E5">
        <f>IF($B5="","",INDEX(Players!$G$2:$G$101,MATCH(4,Players!$H$2:$H$101,0)))</f>
      </c>
      <c r="F5">
        <f>IF($B5="","",INDEX(Players!$D$2:$D$101,MATCH(4,Players!$H$2:$H$101,0)))</f>
      </c>
    </row>
    <row r="6">
      <c r="A6">
        <f>IF($B6="","",COUNTIF(Players!$F$2:$F$101,"&gt;"&amp;$D6)+1)</f>
      </c>
      <c r="B6">
        <f>IFERROR(INDEX(Players!$A$2:$A$101,MATCH(5,Players!$H$2:$H$101,0)),"")</f>
      </c>
      <c r="C6">
        <f>IF($B6="","",INDEX(Players!$E$2:$E$101,MATCH(5,Players!$H$2:$H$101,0)))</f>
      </c>
      <c r="D6">
        <f>IF($B6="","",INDEX(Players!$F$2:$F$101,MATCH(5,Players!$H$2:$H$101,0)))</f>
      </c>
      <c r="E6">
        <f>IF($B6="","",INDEX(Players!$G$2:$G$101,MATCH(5,Players!$H$2:$H$101,0)))</f>
      </c>
      <c r="F6">
        <f>IF($B6="","",INDEX(Players!$D$2:$D$101,MATCH(5,Players!$H$2:$H$101,0)))</f>
      </c>
    </row>
    <row r="7">
      <c r="A7">
        <f>IF($B7="","",COUNTIF(Players!$F$2:$F$101,"&gt;"&amp;$D7)+1)</f>
      </c>
      <c r="B7">
        <f>IFERROR(INDEX(Players!$A$2:$A$101,MATCH(6,Players!$H$2:$H$101,0)),"")</f>
      </c>
      <c r="C7">
        <f>IF($B7="","",INDEX(Players!$E$2:$E$101,MATCH(6,Players!$H$2:$H$101,0)))</f>
      </c>
      <c r="D7">
        <f>IF($B7="","",INDEX(Players!$F$2:$F$101,MATCH(6,Players!$H$2:$H$101,0)))</f>
      </c>
      <c r="E7">
        <f>IF($B7="","",INDEX(Players!$G$2:$G$101,MATCH(6,Players!$H$2:$H$101,0)))</f>
      </c>
      <c r="F7">
        <f>IF($B7="","",INDEX(Players!$D$2:$D$101,MATCH(6,Players!$H$2:$H$101,0)))</f>
      </c>
    </row>
    <row r="8">
      <c r="A8">
        <f>IF($B8="","",COUNTIF(Players!$F$2:$F$101,"&gt;"&amp;$D8)+1)</f>
      </c>
      <c r="B8">
        <f>IFERROR(INDEX(Players!$A$2:$A$101,MATCH(7,Players!$H$2:$H$101,0)),"")</f>
      </c>
      <c r="C8">
        <f>IF($B8="","",INDEX(Players!$E$2:$E$101,MATCH(7,Players!$H$2:$H$101,0)))</f>
      </c>
      <c r="D8">
        <f>IF($B8="","",INDEX(Players!$F$2:$F$101,MATCH(7,Players!$H$2:$H$101,0)))</f>
      </c>
      <c r="E8">
        <f>IF($B8="","",INDEX(Players!$G$2:$G$101,MATCH(7,Players!$H$2:$H$101,0)))</f>
      </c>
      <c r="F8">
        <f>IF($B8="","",INDEX(Players!$D$2:$D$101,MATCH(7,Players!$H$2:$H$101,0)))</f>
      </c>
    </row>
    <row r="9">
      <c r="A9">
        <f>IF($B9="","",COUNTIF(Players!$F$2:$F$101,"&gt;"&amp;$D9)+1)</f>
      </c>
      <c r="B9">
        <f>IFERROR(INDEX(Players!$A$2:$A$101,MATCH(8,Players!$H$2:$H$101,0)),"")</f>
      </c>
      <c r="C9">
        <f>IF($B9="","",INDEX(Players!$E$2:$E$101,MATCH(8,Players!$H$2:$H$101,0)))</f>
      </c>
      <c r="D9">
        <f>IF($B9="","",INDEX(Players!$F$2:$F$101,MATCH(8,Players!$H$2:$H$101,0)))</f>
      </c>
      <c r="E9">
        <f>IF($B9="","",INDEX(Players!$G$2:$G$101,MATCH(8,Players!$H$2:$H$101,0)))</f>
      </c>
      <c r="F9">
        <f>IF($B9="","",INDEX(Players!$D$2:$D$101,MATCH(8,Players!$H$2:$H$101,0)))</f>
      </c>
    </row>
    <row r="10">
      <c r="A10">
        <f>IF($B10="","",COUNTIF(Players!$F$2:$F$101,"&gt;"&amp;$D10)+1)</f>
      </c>
      <c r="B10">
        <f>IFERROR(INDEX(Players!$A$2:$A$101,MATCH(9,Players!$H$2:$H$101,0)),"")</f>
      </c>
      <c r="C10">
        <f>IF($B10="","",INDEX(Players!$E$2:$E$101,MATCH(9,Players!$H$2:$H$101,0)))</f>
      </c>
      <c r="D10">
        <f>IF($B10="","",INDEX(Players!$F$2:$F$101,MATCH(9,Players!$H$2:$H$101,0)))</f>
      </c>
      <c r="E10">
        <f>IF($B10="","",INDEX(Players!$G$2:$G$101,MATCH(9,Players!$H$2:$H$101,0)))</f>
      </c>
      <c r="F10">
        <f>IF($B10="","",INDEX(Players!$D$2:$D$101,MATCH(9,Players!$H$2:$H$101,0)))</f>
      </c>
    </row>
    <row r="11">
      <c r="A11">
        <f>IF($B11="","",COUNTIF(Players!$F$2:$F$101,"&gt;"&amp;$D11)+1)</f>
      </c>
      <c r="B11">
        <f>IFERROR(INDEX(Players!$A$2:$A$101,MATCH(10,Players!$H$2:$H$101,0)),"")</f>
      </c>
      <c r="C11">
        <f>IF($B11="","",INDEX(Players!$E$2:$E$101,MATCH(10,Players!$H$2:$H$101,0)))</f>
      </c>
      <c r="D11">
        <f>IF($B11="","",INDEX(Players!$F$2:$F$101,MATCH(10,Players!$H$2:$H$101,0)))</f>
      </c>
      <c r="E11">
        <f>IF($B11="","",INDEX(Players!$G$2:$G$101,MATCH(10,Players!$H$2:$H$101,0)))</f>
      </c>
      <c r="F11">
        <f>IF($B11="","",INDEX(Players!$D$2:$D$101,MATCH(10,Players!$H$2:$H$101,0)))</f>
      </c>
    </row>
    <row r="12">
      <c r="A12">
        <f>IF($B12="","",COUNTIF(Players!$F$2:$F$101,"&gt;"&amp;$D12)+1)</f>
      </c>
      <c r="B12">
        <f>IFERROR(INDEX(Players!$A$2:$A$101,MATCH(11,Players!$H$2:$H$101,0)),"")</f>
      </c>
      <c r="C12">
        <f>IF($B12="","",INDEX(Players!$E$2:$E$101,MATCH(11,Players!$H$2:$H$101,0)))</f>
      </c>
      <c r="D12">
        <f>IF($B12="","",INDEX(Players!$F$2:$F$101,MATCH(11,Players!$H$2:$H$101,0)))</f>
      </c>
      <c r="E12">
        <f>IF($B12="","",INDEX(Players!$G$2:$G$101,MATCH(11,Players!$H$2:$H$101,0)))</f>
      </c>
      <c r="F12">
        <f>IF($B12="","",INDEX(Players!$D$2:$D$101,MATCH(11,Players!$H$2:$H$101,0)))</f>
      </c>
    </row>
    <row r="13">
      <c r="A13">
        <f>IF($B13="","",COUNTIF(Players!$F$2:$F$101,"&gt;"&amp;$D13)+1)</f>
      </c>
      <c r="B13">
        <f>IFERROR(INDEX(Players!$A$2:$A$101,MATCH(12,Players!$H$2:$H$101,0)),"")</f>
      </c>
      <c r="C13">
        <f>IF($B13="","",INDEX(Players!$E$2:$E$101,MATCH(12,Players!$H$2:$H$101,0)))</f>
      </c>
      <c r="D13">
        <f>IF($B13="","",INDEX(Players!$F$2:$F$101,MATCH(12,Players!$H$2:$H$101,0)))</f>
      </c>
      <c r="E13">
        <f>IF($B13="","",INDEX(Players!$G$2:$G$101,MATCH(12,Players!$H$2:$H$101,0)))</f>
      </c>
      <c r="F13">
        <f>IF($B13="","",INDEX(Players!$D$2:$D$101,MATCH(12,Players!$H$2:$H$101,0)))</f>
      </c>
    </row>
    <row r="14">
      <c r="A14">
        <f>IF($B14="","",COUNTIF(Players!$F$2:$F$101,"&gt;"&amp;$D14)+1)</f>
      </c>
      <c r="B14">
        <f>IFERROR(INDEX(Players!$A$2:$A$101,MATCH(13,Players!$H$2:$H$101,0)),"")</f>
      </c>
      <c r="C14">
        <f>IF($B14="","",INDEX(Players!$E$2:$E$101,MATCH(13,Players!$H$2:$H$101,0)))</f>
      </c>
      <c r="D14">
        <f>IF($B14="","",INDEX(Players!$F$2:$F$101,MATCH(13,Players!$H$2:$H$101,0)))</f>
      </c>
      <c r="E14">
        <f>IF($B14="","",INDEX(Players!$G$2:$G$101,MATCH(13,Players!$H$2:$H$101,0)))</f>
      </c>
      <c r="F14">
        <f>IF($B14="","",INDEX(Players!$D$2:$D$101,MATCH(13,Players!$H$2:$H$101,0)))</f>
      </c>
    </row>
    <row r="15">
      <c r="A15">
        <f>IF($B15="","",COUNTIF(Players!$F$2:$F$101,"&gt;"&amp;$D15)+1)</f>
      </c>
      <c r="B15">
        <f>IFERROR(INDEX(Players!$A$2:$A$101,MATCH(14,Players!$H$2:$H$101,0)),"")</f>
      </c>
      <c r="C15">
        <f>IF($B15="","",INDEX(Players!$E$2:$E$101,MATCH(14,Players!$H$2:$H$101,0)))</f>
      </c>
      <c r="D15">
        <f>IF($B15="","",INDEX(Players!$F$2:$F$101,MATCH(14,Players!$H$2:$H$101,0)))</f>
      </c>
      <c r="E15">
        <f>IF($B15="","",INDEX(Players!$G$2:$G$101,MATCH(14,Players!$H$2:$H$101,0)))</f>
      </c>
      <c r="F15">
        <f>IF($B15="","",INDEX(Players!$D$2:$D$101,MATCH(14,Players!$H$2:$H$101,0)))</f>
      </c>
    </row>
    <row r="16">
      <c r="A16">
        <f>IF($B16="","",COUNTIF(Players!$F$2:$F$101,"&gt;"&amp;$D16)+1)</f>
      </c>
      <c r="B16">
        <f>IFERROR(INDEX(Players!$A$2:$A$101,MATCH(15,Players!$H$2:$H$101,0)),"")</f>
      </c>
      <c r="C16">
        <f>IF($B16="","",INDEX(Players!$E$2:$E$101,MATCH(15,Players!$H$2:$H$101,0)))</f>
      </c>
      <c r="D16">
        <f>IF($B16="","",INDEX(Players!$F$2:$F$101,MATCH(15,Players!$H$2:$H$101,0)))</f>
      </c>
      <c r="E16">
        <f>IF($B16="","",INDEX(Players!$G$2:$G$101,MATCH(15,Players!$H$2:$H$101,0)))</f>
      </c>
      <c r="F16">
        <f>IF($B16="","",INDEX(Players!$D$2:$D$101,MATCH(15,Players!$H$2:$H$101,0)))</f>
      </c>
    </row>
    <row r="17">
      <c r="A17">
        <f>IF($B17="","",COUNTIF(Players!$F$2:$F$101,"&gt;"&amp;$D17)+1)</f>
      </c>
      <c r="B17">
        <f>IFERROR(INDEX(Players!$A$2:$A$101,MATCH(16,Players!$H$2:$H$101,0)),"")</f>
      </c>
      <c r="C17">
        <f>IF($B17="","",INDEX(Players!$E$2:$E$101,MATCH(16,Players!$H$2:$H$101,0)))</f>
      </c>
      <c r="D17">
        <f>IF($B17="","",INDEX(Players!$F$2:$F$101,MATCH(16,Players!$H$2:$H$101,0)))</f>
      </c>
      <c r="E17">
        <f>IF($B17="","",INDEX(Players!$G$2:$G$101,MATCH(16,Players!$H$2:$H$101,0)))</f>
      </c>
      <c r="F17">
        <f>IF($B17="","",INDEX(Players!$D$2:$D$101,MATCH(16,Players!$H$2:$H$101,0)))</f>
      </c>
    </row>
    <row r="18">
      <c r="A18">
        <f>IF($B18="","",COUNTIF(Players!$F$2:$F$101,"&gt;"&amp;$D18)+1)</f>
      </c>
      <c r="B18">
        <f>IFERROR(INDEX(Players!$A$2:$A$101,MATCH(17,Players!$H$2:$H$101,0)),"")</f>
      </c>
      <c r="C18">
        <f>IF($B18="","",INDEX(Players!$E$2:$E$101,MATCH(17,Players!$H$2:$H$101,0)))</f>
      </c>
      <c r="D18">
        <f>IF($B18="","",INDEX(Players!$F$2:$F$101,MATCH(17,Players!$H$2:$H$101,0)))</f>
      </c>
      <c r="E18">
        <f>IF($B18="","",INDEX(Players!$G$2:$G$101,MATCH(17,Players!$H$2:$H$101,0)))</f>
      </c>
      <c r="F18">
        <f>IF($B18="","",INDEX(Players!$D$2:$D$101,MATCH(17,Players!$H$2:$H$101,0)))</f>
      </c>
    </row>
    <row r="19">
      <c r="A19">
        <f>IF($B19="","",COUNTIF(Players!$F$2:$F$101,"&gt;"&amp;$D19)+1)</f>
      </c>
      <c r="B19">
        <f>IFERROR(INDEX(Players!$A$2:$A$101,MATCH(18,Players!$H$2:$H$101,0)),"")</f>
      </c>
      <c r="C19">
        <f>IF($B19="","",INDEX(Players!$E$2:$E$101,MATCH(18,Players!$H$2:$H$101,0)))</f>
      </c>
      <c r="D19">
        <f>IF($B19="","",INDEX(Players!$F$2:$F$101,MATCH(18,Players!$H$2:$H$101,0)))</f>
      </c>
      <c r="E19">
        <f>IF($B19="","",INDEX(Players!$G$2:$G$101,MATCH(18,Players!$H$2:$H$101,0)))</f>
      </c>
      <c r="F19">
        <f>IF($B19="","",INDEX(Players!$D$2:$D$101,MATCH(18,Players!$H$2:$H$101,0)))</f>
      </c>
    </row>
    <row r="20">
      <c r="A20">
        <f>IF($B20="","",COUNTIF(Players!$F$2:$F$101,"&gt;"&amp;$D20)+1)</f>
      </c>
      <c r="B20">
        <f>IFERROR(INDEX(Players!$A$2:$A$101,MATCH(19,Players!$H$2:$H$101,0)),"")</f>
      </c>
      <c r="C20">
        <f>IF($B20="","",INDEX(Players!$E$2:$E$101,MATCH(19,Players!$H$2:$H$101,0)))</f>
      </c>
      <c r="D20">
        <f>IF($B20="","",INDEX(Players!$F$2:$F$101,MATCH(19,Players!$H$2:$H$101,0)))</f>
      </c>
      <c r="E20">
        <f>IF($B20="","",INDEX(Players!$G$2:$G$101,MATCH(19,Players!$H$2:$H$101,0)))</f>
      </c>
      <c r="F20">
        <f>IF($B20="","",INDEX(Players!$D$2:$D$101,MATCH(19,Players!$H$2:$H$101,0)))</f>
      </c>
    </row>
    <row r="21">
      <c r="A21">
        <f>IF($B21="","",COUNTIF(Players!$F$2:$F$101,"&gt;"&amp;$D21)+1)</f>
      </c>
      <c r="B21">
        <f>IFERROR(INDEX(Players!$A$2:$A$101,MATCH(20,Players!$H$2:$H$101,0)),"")</f>
      </c>
      <c r="C21">
        <f>IF($B21="","",INDEX(Players!$E$2:$E$101,MATCH(20,Players!$H$2:$H$101,0)))</f>
      </c>
      <c r="D21">
        <f>IF($B21="","",INDEX(Players!$F$2:$F$101,MATCH(20,Players!$H$2:$H$101,0)))</f>
      </c>
      <c r="E21">
        <f>IF($B21="","",INDEX(Players!$G$2:$G$101,MATCH(20,Players!$H$2:$H$101,0)))</f>
      </c>
      <c r="F21">
        <f>IF($B21="","",INDEX(Players!$D$2:$D$101,MATCH(20,Players!$H$2:$H$101,0)))</f>
      </c>
    </row>
    <row r="22">
      <c r="A22">
        <f>IF($B22="","",COUNTIF(Players!$F$2:$F$101,"&gt;"&amp;$D22)+1)</f>
      </c>
      <c r="B22">
        <f>IFERROR(INDEX(Players!$A$2:$A$101,MATCH(21,Players!$H$2:$H$101,0)),"")</f>
      </c>
      <c r="C22">
        <f>IF($B22="","",INDEX(Players!$E$2:$E$101,MATCH(21,Players!$H$2:$H$101,0)))</f>
      </c>
      <c r="D22">
        <f>IF($B22="","",INDEX(Players!$F$2:$F$101,MATCH(21,Players!$H$2:$H$101,0)))</f>
      </c>
      <c r="E22">
        <f>IF($B22="","",INDEX(Players!$G$2:$G$101,MATCH(21,Players!$H$2:$H$101,0)))</f>
      </c>
      <c r="F22">
        <f>IF($B22="","",INDEX(Players!$D$2:$D$101,MATCH(21,Players!$H$2:$H$101,0)))</f>
      </c>
    </row>
    <row r="23">
      <c r="A23">
        <f>IF($B23="","",COUNTIF(Players!$F$2:$F$101,"&gt;"&amp;$D23)+1)</f>
      </c>
      <c r="B23">
        <f>IFERROR(INDEX(Players!$A$2:$A$101,MATCH(22,Players!$H$2:$H$101,0)),"")</f>
      </c>
      <c r="C23">
        <f>IF($B23="","",INDEX(Players!$E$2:$E$101,MATCH(22,Players!$H$2:$H$101,0)))</f>
      </c>
      <c r="D23">
        <f>IF($B23="","",INDEX(Players!$F$2:$F$101,MATCH(22,Players!$H$2:$H$101,0)))</f>
      </c>
      <c r="E23">
        <f>IF($B23="","",INDEX(Players!$G$2:$G$101,MATCH(22,Players!$H$2:$H$101,0)))</f>
      </c>
      <c r="F23">
        <f>IF($B23="","",INDEX(Players!$D$2:$D$101,MATCH(22,Players!$H$2:$H$101,0)))</f>
      </c>
    </row>
    <row r="24">
      <c r="A24">
        <f>IF($B24="","",COUNTIF(Players!$F$2:$F$101,"&gt;"&amp;$D24)+1)</f>
      </c>
      <c r="B24">
        <f>IFERROR(INDEX(Players!$A$2:$A$101,MATCH(23,Players!$H$2:$H$101,0)),"")</f>
      </c>
      <c r="C24">
        <f>IF($B24="","",INDEX(Players!$E$2:$E$101,MATCH(23,Players!$H$2:$H$101,0)))</f>
      </c>
      <c r="D24">
        <f>IF($B24="","",INDEX(Players!$F$2:$F$101,MATCH(23,Players!$H$2:$H$101,0)))</f>
      </c>
      <c r="E24">
        <f>IF($B24="","",INDEX(Players!$G$2:$G$101,MATCH(23,Players!$H$2:$H$101,0)))</f>
      </c>
      <c r="F24">
        <f>IF($B24="","",INDEX(Players!$D$2:$D$101,MATCH(23,Players!$H$2:$H$101,0)))</f>
      </c>
    </row>
    <row r="25">
      <c r="A25">
        <f>IF($B25="","",COUNTIF(Players!$F$2:$F$101,"&gt;"&amp;$D25)+1)</f>
      </c>
      <c r="B25">
        <f>IFERROR(INDEX(Players!$A$2:$A$101,MATCH(24,Players!$H$2:$H$101,0)),"")</f>
      </c>
      <c r="C25">
        <f>IF($B25="","",INDEX(Players!$E$2:$E$101,MATCH(24,Players!$H$2:$H$101,0)))</f>
      </c>
      <c r="D25">
        <f>IF($B25="","",INDEX(Players!$F$2:$F$101,MATCH(24,Players!$H$2:$H$101,0)))</f>
      </c>
      <c r="E25">
        <f>IF($B25="","",INDEX(Players!$G$2:$G$101,MATCH(24,Players!$H$2:$H$101,0)))</f>
      </c>
      <c r="F25">
        <f>IF($B25="","",INDEX(Players!$D$2:$D$101,MATCH(24,Players!$H$2:$H$101,0)))</f>
      </c>
    </row>
    <row r="26">
      <c r="A26">
        <f>IF($B26="","",COUNTIF(Players!$F$2:$F$101,"&gt;"&amp;$D26)+1)</f>
      </c>
      <c r="B26">
        <f>IFERROR(INDEX(Players!$A$2:$A$101,MATCH(25,Players!$H$2:$H$101,0)),"")</f>
      </c>
      <c r="C26">
        <f>IF($B26="","",INDEX(Players!$E$2:$E$101,MATCH(25,Players!$H$2:$H$101,0)))</f>
      </c>
      <c r="D26">
        <f>IF($B26="","",INDEX(Players!$F$2:$F$101,MATCH(25,Players!$H$2:$H$101,0)))</f>
      </c>
      <c r="E26">
        <f>IF($B26="","",INDEX(Players!$G$2:$G$101,MATCH(25,Players!$H$2:$H$101,0)))</f>
      </c>
      <c r="F26">
        <f>IF($B26="","",INDEX(Players!$D$2:$D$101,MATCH(25,Players!$H$2:$H$101,0)))</f>
      </c>
    </row>
    <row r="27">
      <c r="A27">
        <f>IF($B27="","",COUNTIF(Players!$F$2:$F$101,"&gt;"&amp;$D27)+1)</f>
      </c>
      <c r="B27">
        <f>IFERROR(INDEX(Players!$A$2:$A$101,MATCH(26,Players!$H$2:$H$101,0)),"")</f>
      </c>
      <c r="C27">
        <f>IF($B27="","",INDEX(Players!$E$2:$E$101,MATCH(26,Players!$H$2:$H$101,0)))</f>
      </c>
      <c r="D27">
        <f>IF($B27="","",INDEX(Players!$F$2:$F$101,MATCH(26,Players!$H$2:$H$101,0)))</f>
      </c>
      <c r="E27">
        <f>IF($B27="","",INDEX(Players!$G$2:$G$101,MATCH(26,Players!$H$2:$H$101,0)))</f>
      </c>
      <c r="F27">
        <f>IF($B27="","",INDEX(Players!$D$2:$D$101,MATCH(26,Players!$H$2:$H$101,0)))</f>
      </c>
    </row>
    <row r="28">
      <c r="A28">
        <f>IF($B28="","",COUNTIF(Players!$F$2:$F$101,"&gt;"&amp;$D28)+1)</f>
      </c>
      <c r="B28">
        <f>IFERROR(INDEX(Players!$A$2:$A$101,MATCH(27,Players!$H$2:$H$101,0)),"")</f>
      </c>
      <c r="C28">
        <f>IF($B28="","",INDEX(Players!$E$2:$E$101,MATCH(27,Players!$H$2:$H$101,0)))</f>
      </c>
      <c r="D28">
        <f>IF($B28="","",INDEX(Players!$F$2:$F$101,MATCH(27,Players!$H$2:$H$101,0)))</f>
      </c>
      <c r="E28">
        <f>IF($B28="","",INDEX(Players!$G$2:$G$101,MATCH(27,Players!$H$2:$H$101,0)))</f>
      </c>
      <c r="F28">
        <f>IF($B28="","",INDEX(Players!$D$2:$D$101,MATCH(27,Players!$H$2:$H$101,0)))</f>
      </c>
    </row>
    <row r="29">
      <c r="A29">
        <f>IF($B29="","",COUNTIF(Players!$F$2:$F$101,"&gt;"&amp;$D29)+1)</f>
      </c>
      <c r="B29">
        <f>IFERROR(INDEX(Players!$A$2:$A$101,MATCH(28,Players!$H$2:$H$101,0)),"")</f>
      </c>
      <c r="C29">
        <f>IF($B29="","",INDEX(Players!$E$2:$E$101,MATCH(28,Players!$H$2:$H$101,0)))</f>
      </c>
      <c r="D29">
        <f>IF($B29="","",INDEX(Players!$F$2:$F$101,MATCH(28,Players!$H$2:$H$101,0)))</f>
      </c>
      <c r="E29">
        <f>IF($B29="","",INDEX(Players!$G$2:$G$101,MATCH(28,Players!$H$2:$H$101,0)))</f>
      </c>
      <c r="F29">
        <f>IF($B29="","",INDEX(Players!$D$2:$D$101,MATCH(28,Players!$H$2:$H$101,0)))</f>
      </c>
    </row>
    <row r="30">
      <c r="A30">
        <f>IF($B30="","",COUNTIF(Players!$F$2:$F$101,"&gt;"&amp;$D30)+1)</f>
      </c>
      <c r="B30">
        <f>IFERROR(INDEX(Players!$A$2:$A$101,MATCH(29,Players!$H$2:$H$101,0)),"")</f>
      </c>
      <c r="C30">
        <f>IF($B30="","",INDEX(Players!$E$2:$E$101,MATCH(29,Players!$H$2:$H$101,0)))</f>
      </c>
      <c r="D30">
        <f>IF($B30="","",INDEX(Players!$F$2:$F$101,MATCH(29,Players!$H$2:$H$101,0)))</f>
      </c>
      <c r="E30">
        <f>IF($B30="","",INDEX(Players!$G$2:$G$101,MATCH(29,Players!$H$2:$H$101,0)))</f>
      </c>
      <c r="F30">
        <f>IF($B30="","",INDEX(Players!$D$2:$D$101,MATCH(29,Players!$H$2:$H$101,0)))</f>
      </c>
    </row>
    <row r="31">
      <c r="A31">
        <f>IF($B31="","",COUNTIF(Players!$F$2:$F$101,"&gt;"&amp;$D31)+1)</f>
      </c>
      <c r="B31">
        <f>IFERROR(INDEX(Players!$A$2:$A$101,MATCH(30,Players!$H$2:$H$101,0)),"")</f>
      </c>
      <c r="C31">
        <f>IF($B31="","",INDEX(Players!$E$2:$E$101,MATCH(30,Players!$H$2:$H$101,0)))</f>
      </c>
      <c r="D31">
        <f>IF($B31="","",INDEX(Players!$F$2:$F$101,MATCH(30,Players!$H$2:$H$101,0)))</f>
      </c>
      <c r="E31">
        <f>IF($B31="","",INDEX(Players!$G$2:$G$101,MATCH(30,Players!$H$2:$H$101,0)))</f>
      </c>
      <c r="F31">
        <f>IF($B31="","",INDEX(Players!$D$2:$D$101,MATCH(30,Players!$H$2:$H$101,0)))</f>
      </c>
    </row>
    <row r="32">
      <c r="A32">
        <f>IF($B32="","",COUNTIF(Players!$F$2:$F$101,"&gt;"&amp;$D32)+1)</f>
      </c>
      <c r="B32">
        <f>IFERROR(INDEX(Players!$A$2:$A$101,MATCH(31,Players!$H$2:$H$101,0)),"")</f>
      </c>
      <c r="C32">
        <f>IF($B32="","",INDEX(Players!$E$2:$E$101,MATCH(31,Players!$H$2:$H$101,0)))</f>
      </c>
      <c r="D32">
        <f>IF($B32="","",INDEX(Players!$F$2:$F$101,MATCH(31,Players!$H$2:$H$101,0)))</f>
      </c>
      <c r="E32">
        <f>IF($B32="","",INDEX(Players!$G$2:$G$101,MATCH(31,Players!$H$2:$H$101,0)))</f>
      </c>
      <c r="F32">
        <f>IF($B32="","",INDEX(Players!$D$2:$D$101,MATCH(31,Players!$H$2:$H$101,0)))</f>
      </c>
    </row>
    <row r="33">
      <c r="A33">
        <f>IF($B33="","",COUNTIF(Players!$F$2:$F$101,"&gt;"&amp;$D33)+1)</f>
      </c>
      <c r="B33">
        <f>IFERROR(INDEX(Players!$A$2:$A$101,MATCH(32,Players!$H$2:$H$101,0)),"")</f>
      </c>
      <c r="C33">
        <f>IF($B33="","",INDEX(Players!$E$2:$E$101,MATCH(32,Players!$H$2:$H$101,0)))</f>
      </c>
      <c r="D33">
        <f>IF($B33="","",INDEX(Players!$F$2:$F$101,MATCH(32,Players!$H$2:$H$101,0)))</f>
      </c>
      <c r="E33">
        <f>IF($B33="","",INDEX(Players!$G$2:$G$101,MATCH(32,Players!$H$2:$H$101,0)))</f>
      </c>
      <c r="F33">
        <f>IF($B33="","",INDEX(Players!$D$2:$D$101,MATCH(32,Players!$H$2:$H$101,0)))</f>
      </c>
    </row>
    <row r="34">
      <c r="A34">
        <f>IF($B34="","",COUNTIF(Players!$F$2:$F$101,"&gt;"&amp;$D34)+1)</f>
      </c>
      <c r="B34">
        <f>IFERROR(INDEX(Players!$A$2:$A$101,MATCH(33,Players!$H$2:$H$101,0)),"")</f>
      </c>
      <c r="C34">
        <f>IF($B34="","",INDEX(Players!$E$2:$E$101,MATCH(33,Players!$H$2:$H$101,0)))</f>
      </c>
      <c r="D34">
        <f>IF($B34="","",INDEX(Players!$F$2:$F$101,MATCH(33,Players!$H$2:$H$101,0)))</f>
      </c>
      <c r="E34">
        <f>IF($B34="","",INDEX(Players!$G$2:$G$101,MATCH(33,Players!$H$2:$H$101,0)))</f>
      </c>
      <c r="F34">
        <f>IF($B34="","",INDEX(Players!$D$2:$D$101,MATCH(33,Players!$H$2:$H$101,0)))</f>
      </c>
    </row>
    <row r="35">
      <c r="A35">
        <f>IF($B35="","",COUNTIF(Players!$F$2:$F$101,"&gt;"&amp;$D35)+1)</f>
      </c>
      <c r="B35">
        <f>IFERROR(INDEX(Players!$A$2:$A$101,MATCH(34,Players!$H$2:$H$101,0)),"")</f>
      </c>
      <c r="C35">
        <f>IF($B35="","",INDEX(Players!$E$2:$E$101,MATCH(34,Players!$H$2:$H$101,0)))</f>
      </c>
      <c r="D35">
        <f>IF($B35="","",INDEX(Players!$F$2:$F$101,MATCH(34,Players!$H$2:$H$101,0)))</f>
      </c>
      <c r="E35">
        <f>IF($B35="","",INDEX(Players!$G$2:$G$101,MATCH(34,Players!$H$2:$H$101,0)))</f>
      </c>
      <c r="F35">
        <f>IF($B35="","",INDEX(Players!$D$2:$D$101,MATCH(34,Players!$H$2:$H$101,0)))</f>
      </c>
    </row>
    <row r="36">
      <c r="A36">
        <f>IF($B36="","",COUNTIF(Players!$F$2:$F$101,"&gt;"&amp;$D36)+1)</f>
      </c>
      <c r="B36">
        <f>IFERROR(INDEX(Players!$A$2:$A$101,MATCH(35,Players!$H$2:$H$101,0)),"")</f>
      </c>
      <c r="C36">
        <f>IF($B36="","",INDEX(Players!$E$2:$E$101,MATCH(35,Players!$H$2:$H$101,0)))</f>
      </c>
      <c r="D36">
        <f>IF($B36="","",INDEX(Players!$F$2:$F$101,MATCH(35,Players!$H$2:$H$101,0)))</f>
      </c>
      <c r="E36">
        <f>IF($B36="","",INDEX(Players!$G$2:$G$101,MATCH(35,Players!$H$2:$H$101,0)))</f>
      </c>
      <c r="F36">
        <f>IF($B36="","",INDEX(Players!$D$2:$D$101,MATCH(35,Players!$H$2:$H$101,0)))</f>
      </c>
    </row>
    <row r="37">
      <c r="A37">
        <f>IF($B37="","",COUNTIF(Players!$F$2:$F$101,"&gt;"&amp;$D37)+1)</f>
      </c>
      <c r="B37">
        <f>IFERROR(INDEX(Players!$A$2:$A$101,MATCH(36,Players!$H$2:$H$101,0)),"")</f>
      </c>
      <c r="C37">
        <f>IF($B37="","",INDEX(Players!$E$2:$E$101,MATCH(36,Players!$H$2:$H$101,0)))</f>
      </c>
      <c r="D37">
        <f>IF($B37="","",INDEX(Players!$F$2:$F$101,MATCH(36,Players!$H$2:$H$101,0)))</f>
      </c>
      <c r="E37">
        <f>IF($B37="","",INDEX(Players!$G$2:$G$101,MATCH(36,Players!$H$2:$H$101,0)))</f>
      </c>
      <c r="F37">
        <f>IF($B37="","",INDEX(Players!$D$2:$D$101,MATCH(36,Players!$H$2:$H$101,0)))</f>
      </c>
    </row>
    <row r="38">
      <c r="A38">
        <f>IF($B38="","",COUNTIF(Players!$F$2:$F$101,"&gt;"&amp;$D38)+1)</f>
      </c>
      <c r="B38">
        <f>IFERROR(INDEX(Players!$A$2:$A$101,MATCH(37,Players!$H$2:$H$101,0)),"")</f>
      </c>
      <c r="C38">
        <f>IF($B38="","",INDEX(Players!$E$2:$E$101,MATCH(37,Players!$H$2:$H$101,0)))</f>
      </c>
      <c r="D38">
        <f>IF($B38="","",INDEX(Players!$F$2:$F$101,MATCH(37,Players!$H$2:$H$101,0)))</f>
      </c>
      <c r="E38">
        <f>IF($B38="","",INDEX(Players!$G$2:$G$101,MATCH(37,Players!$H$2:$H$101,0)))</f>
      </c>
      <c r="F38">
        <f>IF($B38="","",INDEX(Players!$D$2:$D$101,MATCH(37,Players!$H$2:$H$101,0)))</f>
      </c>
    </row>
    <row r="39">
      <c r="A39">
        <f>IF($B39="","",COUNTIF(Players!$F$2:$F$101,"&gt;"&amp;$D39)+1)</f>
      </c>
      <c r="B39">
        <f>IFERROR(INDEX(Players!$A$2:$A$101,MATCH(38,Players!$H$2:$H$101,0)),"")</f>
      </c>
      <c r="C39">
        <f>IF($B39="","",INDEX(Players!$E$2:$E$101,MATCH(38,Players!$H$2:$H$101,0)))</f>
      </c>
      <c r="D39">
        <f>IF($B39="","",INDEX(Players!$F$2:$F$101,MATCH(38,Players!$H$2:$H$101,0)))</f>
      </c>
      <c r="E39">
        <f>IF($B39="","",INDEX(Players!$G$2:$G$101,MATCH(38,Players!$H$2:$H$101,0)))</f>
      </c>
      <c r="F39">
        <f>IF($B39="","",INDEX(Players!$D$2:$D$101,MATCH(38,Players!$H$2:$H$101,0)))</f>
      </c>
    </row>
    <row r="40">
      <c r="A40">
        <f>IF($B40="","",COUNTIF(Players!$F$2:$F$101,"&gt;"&amp;$D40)+1)</f>
      </c>
      <c r="B40">
        <f>IFERROR(INDEX(Players!$A$2:$A$101,MATCH(39,Players!$H$2:$H$101,0)),"")</f>
      </c>
      <c r="C40">
        <f>IF($B40="","",INDEX(Players!$E$2:$E$101,MATCH(39,Players!$H$2:$H$101,0)))</f>
      </c>
      <c r="D40">
        <f>IF($B40="","",INDEX(Players!$F$2:$F$101,MATCH(39,Players!$H$2:$H$101,0)))</f>
      </c>
      <c r="E40">
        <f>IF($B40="","",INDEX(Players!$G$2:$G$101,MATCH(39,Players!$H$2:$H$101,0)))</f>
      </c>
      <c r="F40">
        <f>IF($B40="","",INDEX(Players!$D$2:$D$101,MATCH(39,Players!$H$2:$H$101,0)))</f>
      </c>
    </row>
    <row r="41">
      <c r="A41">
        <f>IF($B41="","",COUNTIF(Players!$F$2:$F$101,"&gt;"&amp;$D41)+1)</f>
      </c>
      <c r="B41">
        <f>IFERROR(INDEX(Players!$A$2:$A$101,MATCH(40,Players!$H$2:$H$101,0)),"")</f>
      </c>
      <c r="C41">
        <f>IF($B41="","",INDEX(Players!$E$2:$E$101,MATCH(40,Players!$H$2:$H$101,0)))</f>
      </c>
      <c r="D41">
        <f>IF($B41="","",INDEX(Players!$F$2:$F$101,MATCH(40,Players!$H$2:$H$101,0)))</f>
      </c>
      <c r="E41">
        <f>IF($B41="","",INDEX(Players!$G$2:$G$101,MATCH(40,Players!$H$2:$H$101,0)))</f>
      </c>
      <c r="F41">
        <f>IF($B41="","",INDEX(Players!$D$2:$D$101,MATCH(40,Players!$H$2:$H$101,0)))</f>
      </c>
    </row>
    <row r="42">
      <c r="A42">
        <f>IF($B42="","",COUNTIF(Players!$F$2:$F$101,"&gt;"&amp;$D42)+1)</f>
      </c>
      <c r="B42">
        <f>IFERROR(INDEX(Players!$A$2:$A$101,MATCH(41,Players!$H$2:$H$101,0)),"")</f>
      </c>
      <c r="C42">
        <f>IF($B42="","",INDEX(Players!$E$2:$E$101,MATCH(41,Players!$H$2:$H$101,0)))</f>
      </c>
      <c r="D42">
        <f>IF($B42="","",INDEX(Players!$F$2:$F$101,MATCH(41,Players!$H$2:$H$101,0)))</f>
      </c>
      <c r="E42">
        <f>IF($B42="","",INDEX(Players!$G$2:$G$101,MATCH(41,Players!$H$2:$H$101,0)))</f>
      </c>
      <c r="F42">
        <f>IF($B42="","",INDEX(Players!$D$2:$D$101,MATCH(41,Players!$H$2:$H$101,0)))</f>
      </c>
    </row>
    <row r="43">
      <c r="A43">
        <f>IF($B43="","",COUNTIF(Players!$F$2:$F$101,"&gt;"&amp;$D43)+1)</f>
      </c>
      <c r="B43">
        <f>IFERROR(INDEX(Players!$A$2:$A$101,MATCH(42,Players!$H$2:$H$101,0)),"")</f>
      </c>
      <c r="C43">
        <f>IF($B43="","",INDEX(Players!$E$2:$E$101,MATCH(42,Players!$H$2:$H$101,0)))</f>
      </c>
      <c r="D43">
        <f>IF($B43="","",INDEX(Players!$F$2:$F$101,MATCH(42,Players!$H$2:$H$101,0)))</f>
      </c>
      <c r="E43">
        <f>IF($B43="","",INDEX(Players!$G$2:$G$101,MATCH(42,Players!$H$2:$H$101,0)))</f>
      </c>
      <c r="F43">
        <f>IF($B43="","",INDEX(Players!$D$2:$D$101,MATCH(42,Players!$H$2:$H$101,0)))</f>
      </c>
    </row>
    <row r="44">
      <c r="A44">
        <f>IF($B44="","",COUNTIF(Players!$F$2:$F$101,"&gt;"&amp;$D44)+1)</f>
      </c>
      <c r="B44">
        <f>IFERROR(INDEX(Players!$A$2:$A$101,MATCH(43,Players!$H$2:$H$101,0)),"")</f>
      </c>
      <c r="C44">
        <f>IF($B44="","",INDEX(Players!$E$2:$E$101,MATCH(43,Players!$H$2:$H$101,0)))</f>
      </c>
      <c r="D44">
        <f>IF($B44="","",INDEX(Players!$F$2:$F$101,MATCH(43,Players!$H$2:$H$101,0)))</f>
      </c>
      <c r="E44">
        <f>IF($B44="","",INDEX(Players!$G$2:$G$101,MATCH(43,Players!$H$2:$H$101,0)))</f>
      </c>
      <c r="F44">
        <f>IF($B44="","",INDEX(Players!$D$2:$D$101,MATCH(43,Players!$H$2:$H$101,0)))</f>
      </c>
    </row>
    <row r="45">
      <c r="A45">
        <f>IF($B45="","",COUNTIF(Players!$F$2:$F$101,"&gt;"&amp;$D45)+1)</f>
      </c>
      <c r="B45">
        <f>IFERROR(INDEX(Players!$A$2:$A$101,MATCH(44,Players!$H$2:$H$101,0)),"")</f>
      </c>
      <c r="C45">
        <f>IF($B45="","",INDEX(Players!$E$2:$E$101,MATCH(44,Players!$H$2:$H$101,0)))</f>
      </c>
      <c r="D45">
        <f>IF($B45="","",INDEX(Players!$F$2:$F$101,MATCH(44,Players!$H$2:$H$101,0)))</f>
      </c>
      <c r="E45">
        <f>IF($B45="","",INDEX(Players!$G$2:$G$101,MATCH(44,Players!$H$2:$H$101,0)))</f>
      </c>
      <c r="F45">
        <f>IF($B45="","",INDEX(Players!$D$2:$D$101,MATCH(44,Players!$H$2:$H$101,0)))</f>
      </c>
    </row>
    <row r="46">
      <c r="A46">
        <f>IF($B46="","",COUNTIF(Players!$F$2:$F$101,"&gt;"&amp;$D46)+1)</f>
      </c>
      <c r="B46">
        <f>IFERROR(INDEX(Players!$A$2:$A$101,MATCH(45,Players!$H$2:$H$101,0)),"")</f>
      </c>
      <c r="C46">
        <f>IF($B46="","",INDEX(Players!$E$2:$E$101,MATCH(45,Players!$H$2:$H$101,0)))</f>
      </c>
      <c r="D46">
        <f>IF($B46="","",INDEX(Players!$F$2:$F$101,MATCH(45,Players!$H$2:$H$101,0)))</f>
      </c>
      <c r="E46">
        <f>IF($B46="","",INDEX(Players!$G$2:$G$101,MATCH(45,Players!$H$2:$H$101,0)))</f>
      </c>
      <c r="F46">
        <f>IF($B46="","",INDEX(Players!$D$2:$D$101,MATCH(45,Players!$H$2:$H$101,0)))</f>
      </c>
    </row>
    <row r="47">
      <c r="A47">
        <f>IF($B47="","",COUNTIF(Players!$F$2:$F$101,"&gt;"&amp;$D47)+1)</f>
      </c>
      <c r="B47">
        <f>IFERROR(INDEX(Players!$A$2:$A$101,MATCH(46,Players!$H$2:$H$101,0)),"")</f>
      </c>
      <c r="C47">
        <f>IF($B47="","",INDEX(Players!$E$2:$E$101,MATCH(46,Players!$H$2:$H$101,0)))</f>
      </c>
      <c r="D47">
        <f>IF($B47="","",INDEX(Players!$F$2:$F$101,MATCH(46,Players!$H$2:$H$101,0)))</f>
      </c>
      <c r="E47">
        <f>IF($B47="","",INDEX(Players!$G$2:$G$101,MATCH(46,Players!$H$2:$H$101,0)))</f>
      </c>
      <c r="F47">
        <f>IF($B47="","",INDEX(Players!$D$2:$D$101,MATCH(46,Players!$H$2:$H$101,0)))</f>
      </c>
    </row>
    <row r="48">
      <c r="A48">
        <f>IF($B48="","",COUNTIF(Players!$F$2:$F$101,"&gt;"&amp;$D48)+1)</f>
      </c>
      <c r="B48">
        <f>IFERROR(INDEX(Players!$A$2:$A$101,MATCH(47,Players!$H$2:$H$101,0)),"")</f>
      </c>
      <c r="C48">
        <f>IF($B48="","",INDEX(Players!$E$2:$E$101,MATCH(47,Players!$H$2:$H$101,0)))</f>
      </c>
      <c r="D48">
        <f>IF($B48="","",INDEX(Players!$F$2:$F$101,MATCH(47,Players!$H$2:$H$101,0)))</f>
      </c>
      <c r="E48">
        <f>IF($B48="","",INDEX(Players!$G$2:$G$101,MATCH(47,Players!$H$2:$H$101,0)))</f>
      </c>
      <c r="F48">
        <f>IF($B48="","",INDEX(Players!$D$2:$D$101,MATCH(47,Players!$H$2:$H$101,0)))</f>
      </c>
    </row>
    <row r="49">
      <c r="A49">
        <f>IF($B49="","",COUNTIF(Players!$F$2:$F$101,"&gt;"&amp;$D49)+1)</f>
      </c>
      <c r="B49">
        <f>IFERROR(INDEX(Players!$A$2:$A$101,MATCH(48,Players!$H$2:$H$101,0)),"")</f>
      </c>
      <c r="C49">
        <f>IF($B49="","",INDEX(Players!$E$2:$E$101,MATCH(48,Players!$H$2:$H$101,0)))</f>
      </c>
      <c r="D49">
        <f>IF($B49="","",INDEX(Players!$F$2:$F$101,MATCH(48,Players!$H$2:$H$101,0)))</f>
      </c>
      <c r="E49">
        <f>IF($B49="","",INDEX(Players!$G$2:$G$101,MATCH(48,Players!$H$2:$H$101,0)))</f>
      </c>
      <c r="F49">
        <f>IF($B49="","",INDEX(Players!$D$2:$D$101,MATCH(48,Players!$H$2:$H$101,0)))</f>
      </c>
    </row>
    <row r="50">
      <c r="A50">
        <f>IF($B50="","",COUNTIF(Players!$F$2:$F$101,"&gt;"&amp;$D50)+1)</f>
      </c>
      <c r="B50">
        <f>IFERROR(INDEX(Players!$A$2:$A$101,MATCH(49,Players!$H$2:$H$101,0)),"")</f>
      </c>
      <c r="C50">
        <f>IF($B50="","",INDEX(Players!$E$2:$E$101,MATCH(49,Players!$H$2:$H$101,0)))</f>
      </c>
      <c r="D50">
        <f>IF($B50="","",INDEX(Players!$F$2:$F$101,MATCH(49,Players!$H$2:$H$101,0)))</f>
      </c>
      <c r="E50">
        <f>IF($B50="","",INDEX(Players!$G$2:$G$101,MATCH(49,Players!$H$2:$H$101,0)))</f>
      </c>
      <c r="F50">
        <f>IF($B50="","",INDEX(Players!$D$2:$D$101,MATCH(49,Players!$H$2:$H$101,0)))</f>
      </c>
    </row>
    <row r="51">
      <c r="A51">
        <f>IF($B51="","",COUNTIF(Players!$F$2:$F$101,"&gt;"&amp;$D51)+1)</f>
      </c>
      <c r="B51">
        <f>IFERROR(INDEX(Players!$A$2:$A$101,MATCH(50,Players!$H$2:$H$101,0)),"")</f>
      </c>
      <c r="C51">
        <f>IF($B51="","",INDEX(Players!$E$2:$E$101,MATCH(50,Players!$H$2:$H$101,0)))</f>
      </c>
      <c r="D51">
        <f>IF($B51="","",INDEX(Players!$F$2:$F$101,MATCH(50,Players!$H$2:$H$101,0)))</f>
      </c>
      <c r="E51">
        <f>IF($B51="","",INDEX(Players!$G$2:$G$101,MATCH(50,Players!$H$2:$H$101,0)))</f>
      </c>
      <c r="F51">
        <f>IF($B51="","",INDEX(Players!$D$2:$D$101,MATCH(50,Players!$H$2:$H$101,0)))</f>
      </c>
    </row>
    <row r="52">
      <c r="A52">
        <f>IF($B52="","",COUNTIF(Players!$F$2:$F$101,"&gt;"&amp;$D52)+1)</f>
      </c>
      <c r="B52">
        <f>IFERROR(INDEX(Players!$A$2:$A$101,MATCH(51,Players!$H$2:$H$101,0)),"")</f>
      </c>
      <c r="C52">
        <f>IF($B52="","",INDEX(Players!$E$2:$E$101,MATCH(51,Players!$H$2:$H$101,0)))</f>
      </c>
      <c r="D52">
        <f>IF($B52="","",INDEX(Players!$F$2:$F$101,MATCH(51,Players!$H$2:$H$101,0)))</f>
      </c>
      <c r="E52">
        <f>IF($B52="","",INDEX(Players!$G$2:$G$101,MATCH(51,Players!$H$2:$H$101,0)))</f>
      </c>
      <c r="F52">
        <f>IF($B52="","",INDEX(Players!$D$2:$D$101,MATCH(51,Players!$H$2:$H$101,0)))</f>
      </c>
    </row>
    <row r="53">
      <c r="A53">
        <f>IF($B53="","",COUNTIF(Players!$F$2:$F$101,"&gt;"&amp;$D53)+1)</f>
      </c>
      <c r="B53">
        <f>IFERROR(INDEX(Players!$A$2:$A$101,MATCH(52,Players!$H$2:$H$101,0)),"")</f>
      </c>
      <c r="C53">
        <f>IF($B53="","",INDEX(Players!$E$2:$E$101,MATCH(52,Players!$H$2:$H$101,0)))</f>
      </c>
      <c r="D53">
        <f>IF($B53="","",INDEX(Players!$F$2:$F$101,MATCH(52,Players!$H$2:$H$101,0)))</f>
      </c>
      <c r="E53">
        <f>IF($B53="","",INDEX(Players!$G$2:$G$101,MATCH(52,Players!$H$2:$H$101,0)))</f>
      </c>
      <c r="F53">
        <f>IF($B53="","",INDEX(Players!$D$2:$D$101,MATCH(52,Players!$H$2:$H$101,0)))</f>
      </c>
    </row>
    <row r="54">
      <c r="A54">
        <f>IF($B54="","",COUNTIF(Players!$F$2:$F$101,"&gt;"&amp;$D54)+1)</f>
      </c>
      <c r="B54">
        <f>IFERROR(INDEX(Players!$A$2:$A$101,MATCH(53,Players!$H$2:$H$101,0)),"")</f>
      </c>
      <c r="C54">
        <f>IF($B54="","",INDEX(Players!$E$2:$E$101,MATCH(53,Players!$H$2:$H$101,0)))</f>
      </c>
      <c r="D54">
        <f>IF($B54="","",INDEX(Players!$F$2:$F$101,MATCH(53,Players!$H$2:$H$101,0)))</f>
      </c>
      <c r="E54">
        <f>IF($B54="","",INDEX(Players!$G$2:$G$101,MATCH(53,Players!$H$2:$H$101,0)))</f>
      </c>
      <c r="F54">
        <f>IF($B54="","",INDEX(Players!$D$2:$D$101,MATCH(53,Players!$H$2:$H$101,0)))</f>
      </c>
    </row>
    <row r="55">
      <c r="A55">
        <f>IF($B55="","",COUNTIF(Players!$F$2:$F$101,"&gt;"&amp;$D55)+1)</f>
      </c>
      <c r="B55">
        <f>IFERROR(INDEX(Players!$A$2:$A$101,MATCH(54,Players!$H$2:$H$101,0)),"")</f>
      </c>
      <c r="C55">
        <f>IF($B55="","",INDEX(Players!$E$2:$E$101,MATCH(54,Players!$H$2:$H$101,0)))</f>
      </c>
      <c r="D55">
        <f>IF($B55="","",INDEX(Players!$F$2:$F$101,MATCH(54,Players!$H$2:$H$101,0)))</f>
      </c>
      <c r="E55">
        <f>IF($B55="","",INDEX(Players!$G$2:$G$101,MATCH(54,Players!$H$2:$H$101,0)))</f>
      </c>
      <c r="F55">
        <f>IF($B55="","",INDEX(Players!$D$2:$D$101,MATCH(54,Players!$H$2:$H$101,0)))</f>
      </c>
    </row>
    <row r="56">
      <c r="A56">
        <f>IF($B56="","",COUNTIF(Players!$F$2:$F$101,"&gt;"&amp;$D56)+1)</f>
      </c>
      <c r="B56">
        <f>IFERROR(INDEX(Players!$A$2:$A$101,MATCH(55,Players!$H$2:$H$101,0)),"")</f>
      </c>
      <c r="C56">
        <f>IF($B56="","",INDEX(Players!$E$2:$E$101,MATCH(55,Players!$H$2:$H$101,0)))</f>
      </c>
      <c r="D56">
        <f>IF($B56="","",INDEX(Players!$F$2:$F$101,MATCH(55,Players!$H$2:$H$101,0)))</f>
      </c>
      <c r="E56">
        <f>IF($B56="","",INDEX(Players!$G$2:$G$101,MATCH(55,Players!$H$2:$H$101,0)))</f>
      </c>
      <c r="F56">
        <f>IF($B56="","",INDEX(Players!$D$2:$D$101,MATCH(55,Players!$H$2:$H$101,0)))</f>
      </c>
    </row>
    <row r="57">
      <c r="A57">
        <f>IF($B57="","",COUNTIF(Players!$F$2:$F$101,"&gt;"&amp;$D57)+1)</f>
      </c>
      <c r="B57">
        <f>IFERROR(INDEX(Players!$A$2:$A$101,MATCH(56,Players!$H$2:$H$101,0)),"")</f>
      </c>
      <c r="C57">
        <f>IF($B57="","",INDEX(Players!$E$2:$E$101,MATCH(56,Players!$H$2:$H$101,0)))</f>
      </c>
      <c r="D57">
        <f>IF($B57="","",INDEX(Players!$F$2:$F$101,MATCH(56,Players!$H$2:$H$101,0)))</f>
      </c>
      <c r="E57">
        <f>IF($B57="","",INDEX(Players!$G$2:$G$101,MATCH(56,Players!$H$2:$H$101,0)))</f>
      </c>
      <c r="F57">
        <f>IF($B57="","",INDEX(Players!$D$2:$D$101,MATCH(56,Players!$H$2:$H$101,0)))</f>
      </c>
    </row>
    <row r="58">
      <c r="A58">
        <f>IF($B58="","",COUNTIF(Players!$F$2:$F$101,"&gt;"&amp;$D58)+1)</f>
      </c>
      <c r="B58">
        <f>IFERROR(INDEX(Players!$A$2:$A$101,MATCH(57,Players!$H$2:$H$101,0)),"")</f>
      </c>
      <c r="C58">
        <f>IF($B58="","",INDEX(Players!$E$2:$E$101,MATCH(57,Players!$H$2:$H$101,0)))</f>
      </c>
      <c r="D58">
        <f>IF($B58="","",INDEX(Players!$F$2:$F$101,MATCH(57,Players!$H$2:$H$101,0)))</f>
      </c>
      <c r="E58">
        <f>IF($B58="","",INDEX(Players!$G$2:$G$101,MATCH(57,Players!$H$2:$H$101,0)))</f>
      </c>
      <c r="F58">
        <f>IF($B58="","",INDEX(Players!$D$2:$D$101,MATCH(57,Players!$H$2:$H$101,0)))</f>
      </c>
    </row>
    <row r="59">
      <c r="A59">
        <f>IF($B59="","",COUNTIF(Players!$F$2:$F$101,"&gt;"&amp;$D59)+1)</f>
      </c>
      <c r="B59">
        <f>IFERROR(INDEX(Players!$A$2:$A$101,MATCH(58,Players!$H$2:$H$101,0)),"")</f>
      </c>
      <c r="C59">
        <f>IF($B59="","",INDEX(Players!$E$2:$E$101,MATCH(58,Players!$H$2:$H$101,0)))</f>
      </c>
      <c r="D59">
        <f>IF($B59="","",INDEX(Players!$F$2:$F$101,MATCH(58,Players!$H$2:$H$101,0)))</f>
      </c>
      <c r="E59">
        <f>IF($B59="","",INDEX(Players!$G$2:$G$101,MATCH(58,Players!$H$2:$H$101,0)))</f>
      </c>
      <c r="F59">
        <f>IF($B59="","",INDEX(Players!$D$2:$D$101,MATCH(58,Players!$H$2:$H$101,0)))</f>
      </c>
    </row>
    <row r="60">
      <c r="A60">
        <f>IF($B60="","",COUNTIF(Players!$F$2:$F$101,"&gt;"&amp;$D60)+1)</f>
      </c>
      <c r="B60">
        <f>IFERROR(INDEX(Players!$A$2:$A$101,MATCH(59,Players!$H$2:$H$101,0)),"")</f>
      </c>
      <c r="C60">
        <f>IF($B60="","",INDEX(Players!$E$2:$E$101,MATCH(59,Players!$H$2:$H$101,0)))</f>
      </c>
      <c r="D60">
        <f>IF($B60="","",INDEX(Players!$F$2:$F$101,MATCH(59,Players!$H$2:$H$101,0)))</f>
      </c>
      <c r="E60">
        <f>IF($B60="","",INDEX(Players!$G$2:$G$101,MATCH(59,Players!$H$2:$H$101,0)))</f>
      </c>
      <c r="F60">
        <f>IF($B60="","",INDEX(Players!$D$2:$D$101,MATCH(59,Players!$H$2:$H$101,0)))</f>
      </c>
    </row>
    <row r="61">
      <c r="A61">
        <f>IF($B61="","",COUNTIF(Players!$F$2:$F$101,"&gt;"&amp;$D61)+1)</f>
      </c>
      <c r="B61">
        <f>IFERROR(INDEX(Players!$A$2:$A$101,MATCH(60,Players!$H$2:$H$101,0)),"")</f>
      </c>
      <c r="C61">
        <f>IF($B61="","",INDEX(Players!$E$2:$E$101,MATCH(60,Players!$H$2:$H$101,0)))</f>
      </c>
      <c r="D61">
        <f>IF($B61="","",INDEX(Players!$F$2:$F$101,MATCH(60,Players!$H$2:$H$101,0)))</f>
      </c>
      <c r="E61">
        <f>IF($B61="","",INDEX(Players!$G$2:$G$101,MATCH(60,Players!$H$2:$H$101,0)))</f>
      </c>
      <c r="F61">
        <f>IF($B61="","",INDEX(Players!$D$2:$D$101,MATCH(60,Players!$H$2:$H$101,0)))</f>
      </c>
    </row>
    <row r="62">
      <c r="A62">
        <f>IF($B62="","",COUNTIF(Players!$F$2:$F$101,"&gt;"&amp;$D62)+1)</f>
      </c>
      <c r="B62">
        <f>IFERROR(INDEX(Players!$A$2:$A$101,MATCH(61,Players!$H$2:$H$101,0)),"")</f>
      </c>
      <c r="C62">
        <f>IF($B62="","",INDEX(Players!$E$2:$E$101,MATCH(61,Players!$H$2:$H$101,0)))</f>
      </c>
      <c r="D62">
        <f>IF($B62="","",INDEX(Players!$F$2:$F$101,MATCH(61,Players!$H$2:$H$101,0)))</f>
      </c>
      <c r="E62">
        <f>IF($B62="","",INDEX(Players!$G$2:$G$101,MATCH(61,Players!$H$2:$H$101,0)))</f>
      </c>
      <c r="F62">
        <f>IF($B62="","",INDEX(Players!$D$2:$D$101,MATCH(61,Players!$H$2:$H$101,0)))</f>
      </c>
    </row>
    <row r="63">
      <c r="A63">
        <f>IF($B63="","",COUNTIF(Players!$F$2:$F$101,"&gt;"&amp;$D63)+1)</f>
      </c>
      <c r="B63">
        <f>IFERROR(INDEX(Players!$A$2:$A$101,MATCH(62,Players!$H$2:$H$101,0)),"")</f>
      </c>
      <c r="C63">
        <f>IF($B63="","",INDEX(Players!$E$2:$E$101,MATCH(62,Players!$H$2:$H$101,0)))</f>
      </c>
      <c r="D63">
        <f>IF($B63="","",INDEX(Players!$F$2:$F$101,MATCH(62,Players!$H$2:$H$101,0)))</f>
      </c>
      <c r="E63">
        <f>IF($B63="","",INDEX(Players!$G$2:$G$101,MATCH(62,Players!$H$2:$H$101,0)))</f>
      </c>
      <c r="F63">
        <f>IF($B63="","",INDEX(Players!$D$2:$D$101,MATCH(62,Players!$H$2:$H$101,0)))</f>
      </c>
    </row>
    <row r="64">
      <c r="A64">
        <f>IF($B64="","",COUNTIF(Players!$F$2:$F$101,"&gt;"&amp;$D64)+1)</f>
      </c>
      <c r="B64">
        <f>IFERROR(INDEX(Players!$A$2:$A$101,MATCH(63,Players!$H$2:$H$101,0)),"")</f>
      </c>
      <c r="C64">
        <f>IF($B64="","",INDEX(Players!$E$2:$E$101,MATCH(63,Players!$H$2:$H$101,0)))</f>
      </c>
      <c r="D64">
        <f>IF($B64="","",INDEX(Players!$F$2:$F$101,MATCH(63,Players!$H$2:$H$101,0)))</f>
      </c>
      <c r="E64">
        <f>IF($B64="","",INDEX(Players!$G$2:$G$101,MATCH(63,Players!$H$2:$H$101,0)))</f>
      </c>
      <c r="F64">
        <f>IF($B64="","",INDEX(Players!$D$2:$D$101,MATCH(63,Players!$H$2:$H$101,0)))</f>
      </c>
    </row>
    <row r="65">
      <c r="A65">
        <f>IF($B65="","",COUNTIF(Players!$F$2:$F$101,"&gt;"&amp;$D65)+1)</f>
      </c>
      <c r="B65">
        <f>IFERROR(INDEX(Players!$A$2:$A$101,MATCH(64,Players!$H$2:$H$101,0)),"")</f>
      </c>
      <c r="C65">
        <f>IF($B65="","",INDEX(Players!$E$2:$E$101,MATCH(64,Players!$H$2:$H$101,0)))</f>
      </c>
      <c r="D65">
        <f>IF($B65="","",INDEX(Players!$F$2:$F$101,MATCH(64,Players!$H$2:$H$101,0)))</f>
      </c>
      <c r="E65">
        <f>IF($B65="","",INDEX(Players!$G$2:$G$101,MATCH(64,Players!$H$2:$H$101,0)))</f>
      </c>
      <c r="F65">
        <f>IF($B65="","",INDEX(Players!$D$2:$D$101,MATCH(64,Players!$H$2:$H$101,0)))</f>
      </c>
    </row>
    <row r="66">
      <c r="A66">
        <f>IF($B66="","",COUNTIF(Players!$F$2:$F$101,"&gt;"&amp;$D66)+1)</f>
      </c>
      <c r="B66">
        <f>IFERROR(INDEX(Players!$A$2:$A$101,MATCH(65,Players!$H$2:$H$101,0)),"")</f>
      </c>
      <c r="C66">
        <f>IF($B66="","",INDEX(Players!$E$2:$E$101,MATCH(65,Players!$H$2:$H$101,0)))</f>
      </c>
      <c r="D66">
        <f>IF($B66="","",INDEX(Players!$F$2:$F$101,MATCH(65,Players!$H$2:$H$101,0)))</f>
      </c>
      <c r="E66">
        <f>IF($B66="","",INDEX(Players!$G$2:$G$101,MATCH(65,Players!$H$2:$H$101,0)))</f>
      </c>
      <c r="F66">
        <f>IF($B66="","",INDEX(Players!$D$2:$D$101,MATCH(65,Players!$H$2:$H$101,0)))</f>
      </c>
    </row>
    <row r="67">
      <c r="A67">
        <f>IF($B67="","",COUNTIF(Players!$F$2:$F$101,"&gt;"&amp;$D67)+1)</f>
      </c>
      <c r="B67">
        <f>IFERROR(INDEX(Players!$A$2:$A$101,MATCH(66,Players!$H$2:$H$101,0)),"")</f>
      </c>
      <c r="C67">
        <f>IF($B67="","",INDEX(Players!$E$2:$E$101,MATCH(66,Players!$H$2:$H$101,0)))</f>
      </c>
      <c r="D67">
        <f>IF($B67="","",INDEX(Players!$F$2:$F$101,MATCH(66,Players!$H$2:$H$101,0)))</f>
      </c>
      <c r="E67">
        <f>IF($B67="","",INDEX(Players!$G$2:$G$101,MATCH(66,Players!$H$2:$H$101,0)))</f>
      </c>
      <c r="F67">
        <f>IF($B67="","",INDEX(Players!$D$2:$D$101,MATCH(66,Players!$H$2:$H$101,0)))</f>
      </c>
    </row>
    <row r="68">
      <c r="A68">
        <f>IF($B68="","",COUNTIF(Players!$F$2:$F$101,"&gt;"&amp;$D68)+1)</f>
      </c>
      <c r="B68">
        <f>IFERROR(INDEX(Players!$A$2:$A$101,MATCH(67,Players!$H$2:$H$101,0)),"")</f>
      </c>
      <c r="C68">
        <f>IF($B68="","",INDEX(Players!$E$2:$E$101,MATCH(67,Players!$H$2:$H$101,0)))</f>
      </c>
      <c r="D68">
        <f>IF($B68="","",INDEX(Players!$F$2:$F$101,MATCH(67,Players!$H$2:$H$101,0)))</f>
      </c>
      <c r="E68">
        <f>IF($B68="","",INDEX(Players!$G$2:$G$101,MATCH(67,Players!$H$2:$H$101,0)))</f>
      </c>
      <c r="F68">
        <f>IF($B68="","",INDEX(Players!$D$2:$D$101,MATCH(67,Players!$H$2:$H$101,0)))</f>
      </c>
    </row>
    <row r="69">
      <c r="A69">
        <f>IF($B69="","",COUNTIF(Players!$F$2:$F$101,"&gt;"&amp;$D69)+1)</f>
      </c>
      <c r="B69">
        <f>IFERROR(INDEX(Players!$A$2:$A$101,MATCH(68,Players!$H$2:$H$101,0)),"")</f>
      </c>
      <c r="C69">
        <f>IF($B69="","",INDEX(Players!$E$2:$E$101,MATCH(68,Players!$H$2:$H$101,0)))</f>
      </c>
      <c r="D69">
        <f>IF($B69="","",INDEX(Players!$F$2:$F$101,MATCH(68,Players!$H$2:$H$101,0)))</f>
      </c>
      <c r="E69">
        <f>IF($B69="","",INDEX(Players!$G$2:$G$101,MATCH(68,Players!$H$2:$H$101,0)))</f>
      </c>
      <c r="F69">
        <f>IF($B69="","",INDEX(Players!$D$2:$D$101,MATCH(68,Players!$H$2:$H$101,0)))</f>
      </c>
    </row>
    <row r="70">
      <c r="A70">
        <f>IF($B70="","",COUNTIF(Players!$F$2:$F$101,"&gt;"&amp;$D70)+1)</f>
      </c>
      <c r="B70">
        <f>IFERROR(INDEX(Players!$A$2:$A$101,MATCH(69,Players!$H$2:$H$101,0)),"")</f>
      </c>
      <c r="C70">
        <f>IF($B70="","",INDEX(Players!$E$2:$E$101,MATCH(69,Players!$H$2:$H$101,0)))</f>
      </c>
      <c r="D70">
        <f>IF($B70="","",INDEX(Players!$F$2:$F$101,MATCH(69,Players!$H$2:$H$101,0)))</f>
      </c>
      <c r="E70">
        <f>IF($B70="","",INDEX(Players!$G$2:$G$101,MATCH(69,Players!$H$2:$H$101,0)))</f>
      </c>
      <c r="F70">
        <f>IF($B70="","",INDEX(Players!$D$2:$D$101,MATCH(69,Players!$H$2:$H$101,0)))</f>
      </c>
    </row>
    <row r="71">
      <c r="A71">
        <f>IF($B71="","",COUNTIF(Players!$F$2:$F$101,"&gt;"&amp;$D71)+1)</f>
      </c>
      <c r="B71">
        <f>IFERROR(INDEX(Players!$A$2:$A$101,MATCH(70,Players!$H$2:$H$101,0)),"")</f>
      </c>
      <c r="C71">
        <f>IF($B71="","",INDEX(Players!$E$2:$E$101,MATCH(70,Players!$H$2:$H$101,0)))</f>
      </c>
      <c r="D71">
        <f>IF($B71="","",INDEX(Players!$F$2:$F$101,MATCH(70,Players!$H$2:$H$101,0)))</f>
      </c>
      <c r="E71">
        <f>IF($B71="","",INDEX(Players!$G$2:$G$101,MATCH(70,Players!$H$2:$H$101,0)))</f>
      </c>
      <c r="F71">
        <f>IF($B71="","",INDEX(Players!$D$2:$D$101,MATCH(70,Players!$H$2:$H$101,0)))</f>
      </c>
    </row>
    <row r="72">
      <c r="A72">
        <f>IF($B72="","",COUNTIF(Players!$F$2:$F$101,"&gt;"&amp;$D72)+1)</f>
      </c>
      <c r="B72">
        <f>IFERROR(INDEX(Players!$A$2:$A$101,MATCH(71,Players!$H$2:$H$101,0)),"")</f>
      </c>
      <c r="C72">
        <f>IF($B72="","",INDEX(Players!$E$2:$E$101,MATCH(71,Players!$H$2:$H$101,0)))</f>
      </c>
      <c r="D72">
        <f>IF($B72="","",INDEX(Players!$F$2:$F$101,MATCH(71,Players!$H$2:$H$101,0)))</f>
      </c>
      <c r="E72">
        <f>IF($B72="","",INDEX(Players!$G$2:$G$101,MATCH(71,Players!$H$2:$H$101,0)))</f>
      </c>
      <c r="F72">
        <f>IF($B72="","",INDEX(Players!$D$2:$D$101,MATCH(71,Players!$H$2:$H$101,0)))</f>
      </c>
    </row>
    <row r="73">
      <c r="A73">
        <f>IF($B73="","",COUNTIF(Players!$F$2:$F$101,"&gt;"&amp;$D73)+1)</f>
      </c>
      <c r="B73">
        <f>IFERROR(INDEX(Players!$A$2:$A$101,MATCH(72,Players!$H$2:$H$101,0)),"")</f>
      </c>
      <c r="C73">
        <f>IF($B73="","",INDEX(Players!$E$2:$E$101,MATCH(72,Players!$H$2:$H$101,0)))</f>
      </c>
      <c r="D73">
        <f>IF($B73="","",INDEX(Players!$F$2:$F$101,MATCH(72,Players!$H$2:$H$101,0)))</f>
      </c>
      <c r="E73">
        <f>IF($B73="","",INDEX(Players!$G$2:$G$101,MATCH(72,Players!$H$2:$H$101,0)))</f>
      </c>
      <c r="F73">
        <f>IF($B73="","",INDEX(Players!$D$2:$D$101,MATCH(72,Players!$H$2:$H$101,0)))</f>
      </c>
    </row>
    <row r="74">
      <c r="A74">
        <f>IF($B74="","",COUNTIF(Players!$F$2:$F$101,"&gt;"&amp;$D74)+1)</f>
      </c>
      <c r="B74">
        <f>IFERROR(INDEX(Players!$A$2:$A$101,MATCH(73,Players!$H$2:$H$101,0)),"")</f>
      </c>
      <c r="C74">
        <f>IF($B74="","",INDEX(Players!$E$2:$E$101,MATCH(73,Players!$H$2:$H$101,0)))</f>
      </c>
      <c r="D74">
        <f>IF($B74="","",INDEX(Players!$F$2:$F$101,MATCH(73,Players!$H$2:$H$101,0)))</f>
      </c>
      <c r="E74">
        <f>IF($B74="","",INDEX(Players!$G$2:$G$101,MATCH(73,Players!$H$2:$H$101,0)))</f>
      </c>
      <c r="F74">
        <f>IF($B74="","",INDEX(Players!$D$2:$D$101,MATCH(73,Players!$H$2:$H$101,0)))</f>
      </c>
    </row>
    <row r="75">
      <c r="A75">
        <f>IF($B75="","",COUNTIF(Players!$F$2:$F$101,"&gt;"&amp;$D75)+1)</f>
      </c>
      <c r="B75">
        <f>IFERROR(INDEX(Players!$A$2:$A$101,MATCH(74,Players!$H$2:$H$101,0)),"")</f>
      </c>
      <c r="C75">
        <f>IF($B75="","",INDEX(Players!$E$2:$E$101,MATCH(74,Players!$H$2:$H$101,0)))</f>
      </c>
      <c r="D75">
        <f>IF($B75="","",INDEX(Players!$F$2:$F$101,MATCH(74,Players!$H$2:$H$101,0)))</f>
      </c>
      <c r="E75">
        <f>IF($B75="","",INDEX(Players!$G$2:$G$101,MATCH(74,Players!$H$2:$H$101,0)))</f>
      </c>
      <c r="F75">
        <f>IF($B75="","",INDEX(Players!$D$2:$D$101,MATCH(74,Players!$H$2:$H$101,0)))</f>
      </c>
    </row>
    <row r="76">
      <c r="A76">
        <f>IF($B76="","",COUNTIF(Players!$F$2:$F$101,"&gt;"&amp;$D76)+1)</f>
      </c>
      <c r="B76">
        <f>IFERROR(INDEX(Players!$A$2:$A$101,MATCH(75,Players!$H$2:$H$101,0)),"")</f>
      </c>
      <c r="C76">
        <f>IF($B76="","",INDEX(Players!$E$2:$E$101,MATCH(75,Players!$H$2:$H$101,0)))</f>
      </c>
      <c r="D76">
        <f>IF($B76="","",INDEX(Players!$F$2:$F$101,MATCH(75,Players!$H$2:$H$101,0)))</f>
      </c>
      <c r="E76">
        <f>IF($B76="","",INDEX(Players!$G$2:$G$101,MATCH(75,Players!$H$2:$H$101,0)))</f>
      </c>
      <c r="F76">
        <f>IF($B76="","",INDEX(Players!$D$2:$D$101,MATCH(75,Players!$H$2:$H$101,0)))</f>
      </c>
    </row>
    <row r="77">
      <c r="A77">
        <f>IF($B77="","",COUNTIF(Players!$F$2:$F$101,"&gt;"&amp;$D77)+1)</f>
      </c>
      <c r="B77">
        <f>IFERROR(INDEX(Players!$A$2:$A$101,MATCH(76,Players!$H$2:$H$101,0)),"")</f>
      </c>
      <c r="C77">
        <f>IF($B77="","",INDEX(Players!$E$2:$E$101,MATCH(76,Players!$H$2:$H$101,0)))</f>
      </c>
      <c r="D77">
        <f>IF($B77="","",INDEX(Players!$F$2:$F$101,MATCH(76,Players!$H$2:$H$101,0)))</f>
      </c>
      <c r="E77">
        <f>IF($B77="","",INDEX(Players!$G$2:$G$101,MATCH(76,Players!$H$2:$H$101,0)))</f>
      </c>
      <c r="F77">
        <f>IF($B77="","",INDEX(Players!$D$2:$D$101,MATCH(76,Players!$H$2:$H$101,0)))</f>
      </c>
    </row>
    <row r="78">
      <c r="A78">
        <f>IF($B78="","",COUNTIF(Players!$F$2:$F$101,"&gt;"&amp;$D78)+1)</f>
      </c>
      <c r="B78">
        <f>IFERROR(INDEX(Players!$A$2:$A$101,MATCH(77,Players!$H$2:$H$101,0)),"")</f>
      </c>
      <c r="C78">
        <f>IF($B78="","",INDEX(Players!$E$2:$E$101,MATCH(77,Players!$H$2:$H$101,0)))</f>
      </c>
      <c r="D78">
        <f>IF($B78="","",INDEX(Players!$F$2:$F$101,MATCH(77,Players!$H$2:$H$101,0)))</f>
      </c>
      <c r="E78">
        <f>IF($B78="","",INDEX(Players!$G$2:$G$101,MATCH(77,Players!$H$2:$H$101,0)))</f>
      </c>
      <c r="F78">
        <f>IF($B78="","",INDEX(Players!$D$2:$D$101,MATCH(77,Players!$H$2:$H$101,0)))</f>
      </c>
    </row>
    <row r="79">
      <c r="A79">
        <f>IF($B79="","",COUNTIF(Players!$F$2:$F$101,"&gt;"&amp;$D79)+1)</f>
      </c>
      <c r="B79">
        <f>IFERROR(INDEX(Players!$A$2:$A$101,MATCH(78,Players!$H$2:$H$101,0)),"")</f>
      </c>
      <c r="C79">
        <f>IF($B79="","",INDEX(Players!$E$2:$E$101,MATCH(78,Players!$H$2:$H$101,0)))</f>
      </c>
      <c r="D79">
        <f>IF($B79="","",INDEX(Players!$F$2:$F$101,MATCH(78,Players!$H$2:$H$101,0)))</f>
      </c>
      <c r="E79">
        <f>IF($B79="","",INDEX(Players!$G$2:$G$101,MATCH(78,Players!$H$2:$H$101,0)))</f>
      </c>
      <c r="F79">
        <f>IF($B79="","",INDEX(Players!$D$2:$D$101,MATCH(78,Players!$H$2:$H$101,0)))</f>
      </c>
    </row>
    <row r="80">
      <c r="A80">
        <f>IF($B80="","",COUNTIF(Players!$F$2:$F$101,"&gt;"&amp;$D80)+1)</f>
      </c>
      <c r="B80">
        <f>IFERROR(INDEX(Players!$A$2:$A$101,MATCH(79,Players!$H$2:$H$101,0)),"")</f>
      </c>
      <c r="C80">
        <f>IF($B80="","",INDEX(Players!$E$2:$E$101,MATCH(79,Players!$H$2:$H$101,0)))</f>
      </c>
      <c r="D80">
        <f>IF($B80="","",INDEX(Players!$F$2:$F$101,MATCH(79,Players!$H$2:$H$101,0)))</f>
      </c>
      <c r="E80">
        <f>IF($B80="","",INDEX(Players!$G$2:$G$101,MATCH(79,Players!$H$2:$H$101,0)))</f>
      </c>
      <c r="F80">
        <f>IF($B80="","",INDEX(Players!$D$2:$D$101,MATCH(79,Players!$H$2:$H$101,0)))</f>
      </c>
    </row>
    <row r="81">
      <c r="A81">
        <f>IF($B81="","",COUNTIF(Players!$F$2:$F$101,"&gt;"&amp;$D81)+1)</f>
      </c>
      <c r="B81">
        <f>IFERROR(INDEX(Players!$A$2:$A$101,MATCH(80,Players!$H$2:$H$101,0)),"")</f>
      </c>
      <c r="C81">
        <f>IF($B81="","",INDEX(Players!$E$2:$E$101,MATCH(80,Players!$H$2:$H$101,0)))</f>
      </c>
      <c r="D81">
        <f>IF($B81="","",INDEX(Players!$F$2:$F$101,MATCH(80,Players!$H$2:$H$101,0)))</f>
      </c>
      <c r="E81">
        <f>IF($B81="","",INDEX(Players!$G$2:$G$101,MATCH(80,Players!$H$2:$H$101,0)))</f>
      </c>
      <c r="F81">
        <f>IF($B81="","",INDEX(Players!$D$2:$D$101,MATCH(80,Players!$H$2:$H$101,0)))</f>
      </c>
    </row>
    <row r="82">
      <c r="A82">
        <f>IF($B82="","",COUNTIF(Players!$F$2:$F$101,"&gt;"&amp;$D82)+1)</f>
      </c>
      <c r="B82">
        <f>IFERROR(INDEX(Players!$A$2:$A$101,MATCH(81,Players!$H$2:$H$101,0)),"")</f>
      </c>
      <c r="C82">
        <f>IF($B82="","",INDEX(Players!$E$2:$E$101,MATCH(81,Players!$H$2:$H$101,0)))</f>
      </c>
      <c r="D82">
        <f>IF($B82="","",INDEX(Players!$F$2:$F$101,MATCH(81,Players!$H$2:$H$101,0)))</f>
      </c>
      <c r="E82">
        <f>IF($B82="","",INDEX(Players!$G$2:$G$101,MATCH(81,Players!$H$2:$H$101,0)))</f>
      </c>
      <c r="F82">
        <f>IF($B82="","",INDEX(Players!$D$2:$D$101,MATCH(81,Players!$H$2:$H$101,0)))</f>
      </c>
    </row>
    <row r="83">
      <c r="A83">
        <f>IF($B83="","",COUNTIF(Players!$F$2:$F$101,"&gt;"&amp;$D83)+1)</f>
      </c>
      <c r="B83">
        <f>IFERROR(INDEX(Players!$A$2:$A$101,MATCH(82,Players!$H$2:$H$101,0)),"")</f>
      </c>
      <c r="C83">
        <f>IF($B83="","",INDEX(Players!$E$2:$E$101,MATCH(82,Players!$H$2:$H$101,0)))</f>
      </c>
      <c r="D83">
        <f>IF($B83="","",INDEX(Players!$F$2:$F$101,MATCH(82,Players!$H$2:$H$101,0)))</f>
      </c>
      <c r="E83">
        <f>IF($B83="","",INDEX(Players!$G$2:$G$101,MATCH(82,Players!$H$2:$H$101,0)))</f>
      </c>
      <c r="F83">
        <f>IF($B83="","",INDEX(Players!$D$2:$D$101,MATCH(82,Players!$H$2:$H$101,0)))</f>
      </c>
    </row>
    <row r="84">
      <c r="A84">
        <f>IF($B84="","",COUNTIF(Players!$F$2:$F$101,"&gt;"&amp;$D84)+1)</f>
      </c>
      <c r="B84">
        <f>IFERROR(INDEX(Players!$A$2:$A$101,MATCH(83,Players!$H$2:$H$101,0)),"")</f>
      </c>
      <c r="C84">
        <f>IF($B84="","",INDEX(Players!$E$2:$E$101,MATCH(83,Players!$H$2:$H$101,0)))</f>
      </c>
      <c r="D84">
        <f>IF($B84="","",INDEX(Players!$F$2:$F$101,MATCH(83,Players!$H$2:$H$101,0)))</f>
      </c>
      <c r="E84">
        <f>IF($B84="","",INDEX(Players!$G$2:$G$101,MATCH(83,Players!$H$2:$H$101,0)))</f>
      </c>
      <c r="F84">
        <f>IF($B84="","",INDEX(Players!$D$2:$D$101,MATCH(83,Players!$H$2:$H$101,0)))</f>
      </c>
    </row>
    <row r="85">
      <c r="A85">
        <f>IF($B85="","",COUNTIF(Players!$F$2:$F$101,"&gt;"&amp;$D85)+1)</f>
      </c>
      <c r="B85">
        <f>IFERROR(INDEX(Players!$A$2:$A$101,MATCH(84,Players!$H$2:$H$101,0)),"")</f>
      </c>
      <c r="C85">
        <f>IF($B85="","",INDEX(Players!$E$2:$E$101,MATCH(84,Players!$H$2:$H$101,0)))</f>
      </c>
      <c r="D85">
        <f>IF($B85="","",INDEX(Players!$F$2:$F$101,MATCH(84,Players!$H$2:$H$101,0)))</f>
      </c>
      <c r="E85">
        <f>IF($B85="","",INDEX(Players!$G$2:$G$101,MATCH(84,Players!$H$2:$H$101,0)))</f>
      </c>
      <c r="F85">
        <f>IF($B85="","",INDEX(Players!$D$2:$D$101,MATCH(84,Players!$H$2:$H$101,0)))</f>
      </c>
    </row>
    <row r="86">
      <c r="A86">
        <f>IF($B86="","",COUNTIF(Players!$F$2:$F$101,"&gt;"&amp;$D86)+1)</f>
      </c>
      <c r="B86">
        <f>IFERROR(INDEX(Players!$A$2:$A$101,MATCH(85,Players!$H$2:$H$101,0)),"")</f>
      </c>
      <c r="C86">
        <f>IF($B86="","",INDEX(Players!$E$2:$E$101,MATCH(85,Players!$H$2:$H$101,0)))</f>
      </c>
      <c r="D86">
        <f>IF($B86="","",INDEX(Players!$F$2:$F$101,MATCH(85,Players!$H$2:$H$101,0)))</f>
      </c>
      <c r="E86">
        <f>IF($B86="","",INDEX(Players!$G$2:$G$101,MATCH(85,Players!$H$2:$H$101,0)))</f>
      </c>
      <c r="F86">
        <f>IF($B86="","",INDEX(Players!$D$2:$D$101,MATCH(85,Players!$H$2:$H$101,0)))</f>
      </c>
    </row>
    <row r="87">
      <c r="A87">
        <f>IF($B87="","",COUNTIF(Players!$F$2:$F$101,"&gt;"&amp;$D87)+1)</f>
      </c>
      <c r="B87">
        <f>IFERROR(INDEX(Players!$A$2:$A$101,MATCH(86,Players!$H$2:$H$101,0)),"")</f>
      </c>
      <c r="C87">
        <f>IF($B87="","",INDEX(Players!$E$2:$E$101,MATCH(86,Players!$H$2:$H$101,0)))</f>
      </c>
      <c r="D87">
        <f>IF($B87="","",INDEX(Players!$F$2:$F$101,MATCH(86,Players!$H$2:$H$101,0)))</f>
      </c>
      <c r="E87">
        <f>IF($B87="","",INDEX(Players!$G$2:$G$101,MATCH(86,Players!$H$2:$H$101,0)))</f>
      </c>
      <c r="F87">
        <f>IF($B87="","",INDEX(Players!$D$2:$D$101,MATCH(86,Players!$H$2:$H$101,0)))</f>
      </c>
    </row>
    <row r="88">
      <c r="A88">
        <f>IF($B88="","",COUNTIF(Players!$F$2:$F$101,"&gt;"&amp;$D88)+1)</f>
      </c>
      <c r="B88">
        <f>IFERROR(INDEX(Players!$A$2:$A$101,MATCH(87,Players!$H$2:$H$101,0)),"")</f>
      </c>
      <c r="C88">
        <f>IF($B88="","",INDEX(Players!$E$2:$E$101,MATCH(87,Players!$H$2:$H$101,0)))</f>
      </c>
      <c r="D88">
        <f>IF($B88="","",INDEX(Players!$F$2:$F$101,MATCH(87,Players!$H$2:$H$101,0)))</f>
      </c>
      <c r="E88">
        <f>IF($B88="","",INDEX(Players!$G$2:$G$101,MATCH(87,Players!$H$2:$H$101,0)))</f>
      </c>
      <c r="F88">
        <f>IF($B88="","",INDEX(Players!$D$2:$D$101,MATCH(87,Players!$H$2:$H$101,0)))</f>
      </c>
    </row>
    <row r="89">
      <c r="A89">
        <f>IF($B89="","",COUNTIF(Players!$F$2:$F$101,"&gt;"&amp;$D89)+1)</f>
      </c>
      <c r="B89">
        <f>IFERROR(INDEX(Players!$A$2:$A$101,MATCH(88,Players!$H$2:$H$101,0)),"")</f>
      </c>
      <c r="C89">
        <f>IF($B89="","",INDEX(Players!$E$2:$E$101,MATCH(88,Players!$H$2:$H$101,0)))</f>
      </c>
      <c r="D89">
        <f>IF($B89="","",INDEX(Players!$F$2:$F$101,MATCH(88,Players!$H$2:$H$101,0)))</f>
      </c>
      <c r="E89">
        <f>IF($B89="","",INDEX(Players!$G$2:$G$101,MATCH(88,Players!$H$2:$H$101,0)))</f>
      </c>
      <c r="F89">
        <f>IF($B89="","",INDEX(Players!$D$2:$D$101,MATCH(88,Players!$H$2:$H$101,0)))</f>
      </c>
    </row>
    <row r="90">
      <c r="A90">
        <f>IF($B90="","",COUNTIF(Players!$F$2:$F$101,"&gt;"&amp;$D90)+1)</f>
      </c>
      <c r="B90">
        <f>IFERROR(INDEX(Players!$A$2:$A$101,MATCH(89,Players!$H$2:$H$101,0)),"")</f>
      </c>
      <c r="C90">
        <f>IF($B90="","",INDEX(Players!$E$2:$E$101,MATCH(89,Players!$H$2:$H$101,0)))</f>
      </c>
      <c r="D90">
        <f>IF($B90="","",INDEX(Players!$F$2:$F$101,MATCH(89,Players!$H$2:$H$101,0)))</f>
      </c>
      <c r="E90">
        <f>IF($B90="","",INDEX(Players!$G$2:$G$101,MATCH(89,Players!$H$2:$H$101,0)))</f>
      </c>
      <c r="F90">
        <f>IF($B90="","",INDEX(Players!$D$2:$D$101,MATCH(89,Players!$H$2:$H$101,0)))</f>
      </c>
    </row>
    <row r="91">
      <c r="A91">
        <f>IF($B91="","",COUNTIF(Players!$F$2:$F$101,"&gt;"&amp;$D91)+1)</f>
      </c>
      <c r="B91">
        <f>IFERROR(INDEX(Players!$A$2:$A$101,MATCH(90,Players!$H$2:$H$101,0)),"")</f>
      </c>
      <c r="C91">
        <f>IF($B91="","",INDEX(Players!$E$2:$E$101,MATCH(90,Players!$H$2:$H$101,0)))</f>
      </c>
      <c r="D91">
        <f>IF($B91="","",INDEX(Players!$F$2:$F$101,MATCH(90,Players!$H$2:$H$101,0)))</f>
      </c>
      <c r="E91">
        <f>IF($B91="","",INDEX(Players!$G$2:$G$101,MATCH(90,Players!$H$2:$H$101,0)))</f>
      </c>
      <c r="F91">
        <f>IF($B91="","",INDEX(Players!$D$2:$D$101,MATCH(90,Players!$H$2:$H$101,0)))</f>
      </c>
    </row>
    <row r="92">
      <c r="A92">
        <f>IF($B92="","",COUNTIF(Players!$F$2:$F$101,"&gt;"&amp;$D92)+1)</f>
      </c>
      <c r="B92">
        <f>IFERROR(INDEX(Players!$A$2:$A$101,MATCH(91,Players!$H$2:$H$101,0)),"")</f>
      </c>
      <c r="C92">
        <f>IF($B92="","",INDEX(Players!$E$2:$E$101,MATCH(91,Players!$H$2:$H$101,0)))</f>
      </c>
      <c r="D92">
        <f>IF($B92="","",INDEX(Players!$F$2:$F$101,MATCH(91,Players!$H$2:$H$101,0)))</f>
      </c>
      <c r="E92">
        <f>IF($B92="","",INDEX(Players!$G$2:$G$101,MATCH(91,Players!$H$2:$H$101,0)))</f>
      </c>
      <c r="F92">
        <f>IF($B92="","",INDEX(Players!$D$2:$D$101,MATCH(91,Players!$H$2:$H$101,0)))</f>
      </c>
    </row>
    <row r="93">
      <c r="A93">
        <f>IF($B93="","",COUNTIF(Players!$F$2:$F$101,"&gt;"&amp;$D93)+1)</f>
      </c>
      <c r="B93">
        <f>IFERROR(INDEX(Players!$A$2:$A$101,MATCH(92,Players!$H$2:$H$101,0)),"")</f>
      </c>
      <c r="C93">
        <f>IF($B93="","",INDEX(Players!$E$2:$E$101,MATCH(92,Players!$H$2:$H$101,0)))</f>
      </c>
      <c r="D93">
        <f>IF($B93="","",INDEX(Players!$F$2:$F$101,MATCH(92,Players!$H$2:$H$101,0)))</f>
      </c>
      <c r="E93">
        <f>IF($B93="","",INDEX(Players!$G$2:$G$101,MATCH(92,Players!$H$2:$H$101,0)))</f>
      </c>
      <c r="F93">
        <f>IF($B93="","",INDEX(Players!$D$2:$D$101,MATCH(92,Players!$H$2:$H$101,0)))</f>
      </c>
    </row>
    <row r="94">
      <c r="A94">
        <f>IF($B94="","",COUNTIF(Players!$F$2:$F$101,"&gt;"&amp;$D94)+1)</f>
      </c>
      <c r="B94">
        <f>IFERROR(INDEX(Players!$A$2:$A$101,MATCH(93,Players!$H$2:$H$101,0)),"")</f>
      </c>
      <c r="C94">
        <f>IF($B94="","",INDEX(Players!$E$2:$E$101,MATCH(93,Players!$H$2:$H$101,0)))</f>
      </c>
      <c r="D94">
        <f>IF($B94="","",INDEX(Players!$F$2:$F$101,MATCH(93,Players!$H$2:$H$101,0)))</f>
      </c>
      <c r="E94">
        <f>IF($B94="","",INDEX(Players!$G$2:$G$101,MATCH(93,Players!$H$2:$H$101,0)))</f>
      </c>
      <c r="F94">
        <f>IF($B94="","",INDEX(Players!$D$2:$D$101,MATCH(93,Players!$H$2:$H$101,0)))</f>
      </c>
    </row>
    <row r="95">
      <c r="A95">
        <f>IF($B95="","",COUNTIF(Players!$F$2:$F$101,"&gt;"&amp;$D95)+1)</f>
      </c>
      <c r="B95">
        <f>IFERROR(INDEX(Players!$A$2:$A$101,MATCH(94,Players!$H$2:$H$101,0)),"")</f>
      </c>
      <c r="C95">
        <f>IF($B95="","",INDEX(Players!$E$2:$E$101,MATCH(94,Players!$H$2:$H$101,0)))</f>
      </c>
      <c r="D95">
        <f>IF($B95="","",INDEX(Players!$F$2:$F$101,MATCH(94,Players!$H$2:$H$101,0)))</f>
      </c>
      <c r="E95">
        <f>IF($B95="","",INDEX(Players!$G$2:$G$101,MATCH(94,Players!$H$2:$H$101,0)))</f>
      </c>
      <c r="F95">
        <f>IF($B95="","",INDEX(Players!$D$2:$D$101,MATCH(94,Players!$H$2:$H$101,0)))</f>
      </c>
    </row>
    <row r="96">
      <c r="A96">
        <f>IF($B96="","",COUNTIF(Players!$F$2:$F$101,"&gt;"&amp;$D96)+1)</f>
      </c>
      <c r="B96">
        <f>IFERROR(INDEX(Players!$A$2:$A$101,MATCH(95,Players!$H$2:$H$101,0)),"")</f>
      </c>
      <c r="C96">
        <f>IF($B96="","",INDEX(Players!$E$2:$E$101,MATCH(95,Players!$H$2:$H$101,0)))</f>
      </c>
      <c r="D96">
        <f>IF($B96="","",INDEX(Players!$F$2:$F$101,MATCH(95,Players!$H$2:$H$101,0)))</f>
      </c>
      <c r="E96">
        <f>IF($B96="","",INDEX(Players!$G$2:$G$101,MATCH(95,Players!$H$2:$H$101,0)))</f>
      </c>
      <c r="F96">
        <f>IF($B96="","",INDEX(Players!$D$2:$D$101,MATCH(95,Players!$H$2:$H$101,0)))</f>
      </c>
    </row>
    <row r="97">
      <c r="A97">
        <f>IF($B97="","",COUNTIF(Players!$F$2:$F$101,"&gt;"&amp;$D97)+1)</f>
      </c>
      <c r="B97">
        <f>IFERROR(INDEX(Players!$A$2:$A$101,MATCH(96,Players!$H$2:$H$101,0)),"")</f>
      </c>
      <c r="C97">
        <f>IF($B97="","",INDEX(Players!$E$2:$E$101,MATCH(96,Players!$H$2:$H$101,0)))</f>
      </c>
      <c r="D97">
        <f>IF($B97="","",INDEX(Players!$F$2:$F$101,MATCH(96,Players!$H$2:$H$101,0)))</f>
      </c>
      <c r="E97">
        <f>IF($B97="","",INDEX(Players!$G$2:$G$101,MATCH(96,Players!$H$2:$H$101,0)))</f>
      </c>
      <c r="F97">
        <f>IF($B97="","",INDEX(Players!$D$2:$D$101,MATCH(96,Players!$H$2:$H$101,0)))</f>
      </c>
    </row>
    <row r="98">
      <c r="A98">
        <f>IF($B98="","",COUNTIF(Players!$F$2:$F$101,"&gt;"&amp;$D98)+1)</f>
      </c>
      <c r="B98">
        <f>IFERROR(INDEX(Players!$A$2:$A$101,MATCH(97,Players!$H$2:$H$101,0)),"")</f>
      </c>
      <c r="C98">
        <f>IF($B98="","",INDEX(Players!$E$2:$E$101,MATCH(97,Players!$H$2:$H$101,0)))</f>
      </c>
      <c r="D98">
        <f>IF($B98="","",INDEX(Players!$F$2:$F$101,MATCH(97,Players!$H$2:$H$101,0)))</f>
      </c>
      <c r="E98">
        <f>IF($B98="","",INDEX(Players!$G$2:$G$101,MATCH(97,Players!$H$2:$H$101,0)))</f>
      </c>
      <c r="F98">
        <f>IF($B98="","",INDEX(Players!$D$2:$D$101,MATCH(97,Players!$H$2:$H$101,0)))</f>
      </c>
    </row>
    <row r="99">
      <c r="A99">
        <f>IF($B99="","",COUNTIF(Players!$F$2:$F$101,"&gt;"&amp;$D99)+1)</f>
      </c>
      <c r="B99">
        <f>IFERROR(INDEX(Players!$A$2:$A$101,MATCH(98,Players!$H$2:$H$101,0)),"")</f>
      </c>
      <c r="C99">
        <f>IF($B99="","",INDEX(Players!$E$2:$E$101,MATCH(98,Players!$H$2:$H$101,0)))</f>
      </c>
      <c r="D99">
        <f>IF($B99="","",INDEX(Players!$F$2:$F$101,MATCH(98,Players!$H$2:$H$101,0)))</f>
      </c>
      <c r="E99">
        <f>IF($B99="","",INDEX(Players!$G$2:$G$101,MATCH(98,Players!$H$2:$H$101,0)))</f>
      </c>
      <c r="F99">
        <f>IF($B99="","",INDEX(Players!$D$2:$D$101,MATCH(98,Players!$H$2:$H$101,0)))</f>
      </c>
    </row>
    <row r="100">
      <c r="A100">
        <f>IF($B100="","",COUNTIF(Players!$F$2:$F$101,"&gt;"&amp;$D100)+1)</f>
      </c>
      <c r="B100">
        <f>IFERROR(INDEX(Players!$A$2:$A$101,MATCH(99,Players!$H$2:$H$101,0)),"")</f>
      </c>
      <c r="C100">
        <f>IF($B100="","",INDEX(Players!$E$2:$E$101,MATCH(99,Players!$H$2:$H$101,0)))</f>
      </c>
      <c r="D100">
        <f>IF($B100="","",INDEX(Players!$F$2:$F$101,MATCH(99,Players!$H$2:$H$101,0)))</f>
      </c>
      <c r="E100">
        <f>IF($B100="","",INDEX(Players!$G$2:$G$101,MATCH(99,Players!$H$2:$H$101,0)))</f>
      </c>
      <c r="F100">
        <f>IF($B100="","",INDEX(Players!$D$2:$D$101,MATCH(99,Players!$H$2:$H$101,0)))</f>
      </c>
    </row>
    <row r="101">
      <c r="A101">
        <f>IF($B101="","",COUNTIF(Players!$F$2:$F$101,"&gt;"&amp;$D101)+1)</f>
      </c>
      <c r="B101">
        <f>IFERROR(INDEX(Players!$A$2:$A$101,MATCH(100,Players!$H$2:$H$101,0)),"")</f>
      </c>
      <c r="C101">
        <f>IF($B101="","",INDEX(Players!$E$2:$E$101,MATCH(100,Players!$H$2:$H$101,0)))</f>
      </c>
      <c r="D101">
        <f>IF($B101="","",INDEX(Players!$F$2:$F$101,MATCH(100,Players!$H$2:$H$101,0)))</f>
      </c>
      <c r="E101">
        <f>IF($B101="","",INDEX(Players!$G$2:$G$101,MATCH(100,Players!$H$2:$H$101,0)))</f>
      </c>
      <c r="F101">
        <f>IF($B101="","",INDEX(Players!$D$2:$D$101,MATCH(100,Players!$H$2:$H$101,0)))</f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4" customWidth="1"/>
    <col min="2" max="2" width="8" customWidth="1"/>
    <col min="3" max="3" width="40" customWidth="1"/>
  </cols>
  <sheetData>
    <row r="1">
      <c r="A1" s="4" t="s">
        <v>26</v>
      </c>
      <c r="B1" s="4" t="s">
        <v>21</v>
      </c>
      <c r="C1" s="2" t="s">
        <v>27</v>
      </c>
    </row>
    <row r="2">
      <c r="A2" t="s">
        <v>28</v>
      </c>
      <c r="B2">
        <v>8</v>
      </c>
    </row>
    <row r="3">
      <c r="A3" t="s">
        <v>29</v>
      </c>
      <c r="B3">
        <v>4</v>
      </c>
    </row>
    <row r="4">
      <c r="A4" t="s">
        <v>30</v>
      </c>
      <c r="B4">
        <v>2</v>
      </c>
    </row>
    <row r="5">
      <c r="A5" t="s">
        <v>31</v>
      </c>
      <c r="B5">
        <v>1</v>
      </c>
    </row>
    <row r="6">
      <c r="A6" t="s">
        <v>32</v>
      </c>
      <c r="B6">
        <v>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4" customWidth="1"/>
    <col min="2" max="2" width="8" customWidth="1"/>
    <col min="3" max="3" width="60" customWidth="1"/>
  </cols>
  <sheetData>
    <row r="1">
      <c r="A1" s="4" t="s">
        <v>33</v>
      </c>
      <c r="B1" s="4" t="s">
        <v>34</v>
      </c>
      <c r="C1" s="4" t="s">
        <v>35</v>
      </c>
    </row>
    <row r="2">
      <c r="A2" t="s">
        <v>36</v>
      </c>
      <c r="B2">
        <v>10</v>
      </c>
      <c r="C2" s="2" t="s">
        <v>37</v>
      </c>
    </row>
    <row r="3">
      <c r="A3" t="s">
        <v>38</v>
      </c>
      <c r="B3">
        <v>1</v>
      </c>
      <c r="C3" s="2" t="s">
        <v>39</v>
      </c>
    </row>
    <row r="4">
      <c r="A4" t="s">
        <v>40</v>
      </c>
      <c r="B4" t="s">
        <v>41</v>
      </c>
      <c r="C4" s="2" t="s">
        <v>42</v>
      </c>
    </row>
  </sheetData>
</worksheet>
</file>